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C\Desktop\2023 domes lēmumi\protokols Nr. 3 28.02.2023\"/>
    </mc:Choice>
  </mc:AlternateContent>
  <bookViews>
    <workbookView xWindow="-120" yWindow="-120" windowWidth="29040" windowHeight="15840" activeTab="3"/>
  </bookViews>
  <sheets>
    <sheet name="Skolas" sheetId="25" r:id="rId1"/>
    <sheet name="bērni līdz 5 gadiem" sheetId="29" r:id="rId2"/>
    <sheet name="bērni no 5 gadu vec." sheetId="30" r:id="rId3"/>
    <sheet name="KOPĀ PII" sheetId="36" r:id="rId4"/>
  </sheets>
  <definedNames>
    <definedName name="_xlnm.Print_Area" localSheetId="0">Skolas!$A$4:$T$32</definedName>
  </definedNames>
  <calcPr calcId="162913"/>
</workbook>
</file>

<file path=xl/calcChain.xml><?xml version="1.0" encoding="utf-8"?>
<calcChain xmlns="http://schemas.openxmlformats.org/spreadsheetml/2006/main">
  <c r="S33" i="29" l="1"/>
  <c r="S33" i="30"/>
  <c r="Q11" i="25"/>
  <c r="Q10" i="25"/>
  <c r="G11" i="25"/>
  <c r="G10" i="25"/>
  <c r="M11" i="25" l="1"/>
  <c r="M10" i="25"/>
  <c r="F11" i="25" l="1"/>
  <c r="F10" i="25"/>
  <c r="E11" i="25"/>
  <c r="E10" i="25"/>
  <c r="P10" i="25"/>
  <c r="P11" i="25"/>
  <c r="O11" i="25"/>
  <c r="O10" i="25"/>
  <c r="L11" i="25"/>
  <c r="L10" i="25"/>
  <c r="K11" i="25"/>
  <c r="K10" i="25"/>
  <c r="I11" i="25"/>
  <c r="I10" i="25"/>
  <c r="K13" i="36" l="1"/>
  <c r="I12" i="36"/>
  <c r="D12" i="36"/>
  <c r="Q12" i="36"/>
  <c r="R13" i="36"/>
  <c r="N12" i="36"/>
  <c r="P12" i="36"/>
  <c r="L12" i="36"/>
  <c r="J12" i="36"/>
  <c r="G13" i="36"/>
  <c r="H12" i="36"/>
  <c r="G12" i="36"/>
  <c r="F13" i="36"/>
  <c r="P29" i="36"/>
  <c r="H29" i="36"/>
  <c r="E29" i="36"/>
  <c r="D29" i="36"/>
  <c r="C22" i="30"/>
  <c r="S31" i="30"/>
  <c r="C31" i="36"/>
  <c r="H30" i="36"/>
  <c r="G30" i="36"/>
  <c r="D31" i="36"/>
  <c r="O31" i="36"/>
  <c r="S29" i="30"/>
  <c r="Q28" i="36"/>
  <c r="I28" i="36"/>
  <c r="S26" i="30"/>
  <c r="E25" i="36"/>
  <c r="M24" i="36"/>
  <c r="P23" i="36"/>
  <c r="S23" i="30"/>
  <c r="S24" i="30"/>
  <c r="J24" i="36"/>
  <c r="L25" i="36"/>
  <c r="N26" i="36"/>
  <c r="P27" i="36"/>
  <c r="S28" i="30"/>
  <c r="R28" i="36"/>
  <c r="O28" i="36"/>
  <c r="M27" i="36"/>
  <c r="K26" i="36"/>
  <c r="E26" i="36"/>
  <c r="C25" i="36"/>
  <c r="Q23" i="36"/>
  <c r="K23" i="36"/>
  <c r="F23" i="36"/>
  <c r="E23" i="36"/>
  <c r="J21" i="36"/>
  <c r="I21" i="36"/>
  <c r="S19" i="30"/>
  <c r="I18" i="36"/>
  <c r="S18" i="30"/>
  <c r="K16" i="36"/>
  <c r="G16" i="36"/>
  <c r="H16" i="36"/>
  <c r="M16" i="36"/>
  <c r="N16" i="36"/>
  <c r="C17" i="36"/>
  <c r="D17" i="36"/>
  <c r="I17" i="36"/>
  <c r="O17" i="36"/>
  <c r="P17" i="36"/>
  <c r="K18" i="36"/>
  <c r="Q18" i="36"/>
  <c r="R18" i="36"/>
  <c r="G19" i="36"/>
  <c r="M19" i="36"/>
  <c r="N19" i="36"/>
  <c r="S20" i="30"/>
  <c r="D20" i="36"/>
  <c r="I20" i="36"/>
  <c r="J20" i="36"/>
  <c r="O20" i="36"/>
  <c r="P20" i="36"/>
  <c r="E21" i="36"/>
  <c r="F21" i="36"/>
  <c r="L21" i="36"/>
  <c r="Q21" i="36"/>
  <c r="P18" i="36"/>
  <c r="C18" i="36"/>
  <c r="F14" i="36"/>
  <c r="M14" i="36"/>
  <c r="N14" i="36"/>
  <c r="K31" i="36"/>
  <c r="Q30" i="36"/>
  <c r="L30" i="36"/>
  <c r="M30" i="36"/>
  <c r="R30" i="36"/>
  <c r="N31" i="36"/>
  <c r="N29" i="36"/>
  <c r="L28" i="36"/>
  <c r="F28" i="36"/>
  <c r="S28" i="29"/>
  <c r="R27" i="36"/>
  <c r="L27" i="36"/>
  <c r="K27" i="36"/>
  <c r="J27" i="36"/>
  <c r="D27" i="36"/>
  <c r="H26" i="36"/>
  <c r="S26" i="29"/>
  <c r="R25" i="36"/>
  <c r="H25" i="36"/>
  <c r="G25" i="36"/>
  <c r="F25" i="36"/>
  <c r="P24" i="36"/>
  <c r="F24" i="36"/>
  <c r="D24" i="36"/>
  <c r="O23" i="36"/>
  <c r="N23" i="36"/>
  <c r="J23" i="36"/>
  <c r="H23" i="36"/>
  <c r="S23" i="29"/>
  <c r="N24" i="36"/>
  <c r="J25" i="36"/>
  <c r="N27" i="36"/>
  <c r="J28" i="36"/>
  <c r="P28" i="36"/>
  <c r="P26" i="36"/>
  <c r="N25" i="36"/>
  <c r="I25" i="36"/>
  <c r="S21" i="29"/>
  <c r="M20" i="36"/>
  <c r="G20" i="36"/>
  <c r="Q19" i="36"/>
  <c r="E19" i="36"/>
  <c r="O18" i="36"/>
  <c r="Q15" i="29"/>
  <c r="M15" i="29"/>
  <c r="G17" i="36"/>
  <c r="D15" i="29"/>
  <c r="Q16" i="36"/>
  <c r="O15" i="29"/>
  <c r="K15" i="29"/>
  <c r="I15" i="29"/>
  <c r="F15" i="29"/>
  <c r="E16" i="36"/>
  <c r="E15" i="29"/>
  <c r="J15" i="29"/>
  <c r="L18" i="36"/>
  <c r="S20" i="29"/>
  <c r="N15" i="29"/>
  <c r="L16" i="36"/>
  <c r="F12" i="36"/>
  <c r="M12" i="36"/>
  <c r="C12" i="36"/>
  <c r="D30" i="36"/>
  <c r="L29" i="36"/>
  <c r="C28" i="36"/>
  <c r="H27" i="36"/>
  <c r="L26" i="36"/>
  <c r="P25" i="36"/>
  <c r="D25" i="36"/>
  <c r="H24" i="36"/>
  <c r="L23" i="36"/>
  <c r="Q31" i="36"/>
  <c r="E31" i="36"/>
  <c r="O30" i="36"/>
  <c r="C30" i="36"/>
  <c r="F27" i="36"/>
  <c r="O26" i="36"/>
  <c r="J26" i="36"/>
  <c r="D26" i="36"/>
  <c r="R24" i="36"/>
  <c r="L24" i="36"/>
  <c r="K24" i="36"/>
  <c r="D23" i="36"/>
  <c r="H21" i="36"/>
  <c r="R20" i="36"/>
  <c r="L20" i="36"/>
  <c r="P19" i="36"/>
  <c r="J19" i="36"/>
  <c r="D19" i="36"/>
  <c r="N18" i="36"/>
  <c r="L17" i="36"/>
  <c r="F17" i="36"/>
  <c r="P16" i="36"/>
  <c r="J16" i="36"/>
  <c r="K21" i="36"/>
  <c r="P13" i="36"/>
  <c r="E14" i="36"/>
  <c r="G14" i="36"/>
  <c r="D13" i="36"/>
  <c r="L14" i="36"/>
  <c r="O13" i="36"/>
  <c r="I14" i="36"/>
  <c r="O14" i="36"/>
  <c r="Q13" i="36"/>
  <c r="D28" i="36"/>
  <c r="H28" i="36"/>
  <c r="M28" i="36"/>
  <c r="N28" i="36"/>
  <c r="F29" i="36"/>
  <c r="J29" i="36"/>
  <c r="K29" i="36"/>
  <c r="Q29" i="36"/>
  <c r="R29" i="36"/>
  <c r="F30" i="36"/>
  <c r="J30" i="36"/>
  <c r="N30" i="36"/>
  <c r="P30" i="36"/>
  <c r="F31" i="36"/>
  <c r="H31" i="36"/>
  <c r="L31" i="36"/>
  <c r="P31" i="36"/>
  <c r="R31" i="36"/>
  <c r="G27" i="36"/>
  <c r="R26" i="36"/>
  <c r="Q26" i="36"/>
  <c r="F26" i="36"/>
  <c r="O25" i="36"/>
  <c r="R23" i="36"/>
  <c r="O21" i="36"/>
  <c r="N21" i="36"/>
  <c r="D21" i="36"/>
  <c r="H20" i="36"/>
  <c r="F20" i="36"/>
  <c r="K19" i="36"/>
  <c r="F19" i="36"/>
  <c r="H18" i="36"/>
  <c r="R17" i="36"/>
  <c r="D16" i="36"/>
  <c r="I13" i="36"/>
  <c r="M13" i="36"/>
  <c r="K14" i="36"/>
  <c r="Q14" i="36"/>
  <c r="R14" i="36"/>
  <c r="E12" i="36"/>
  <c r="R12" i="36"/>
  <c r="H15" i="29"/>
  <c r="S19" i="29"/>
  <c r="R10" i="36"/>
  <c r="Q10" i="36"/>
  <c r="P10" i="36"/>
  <c r="O10" i="36"/>
  <c r="N10" i="36"/>
  <c r="M10" i="36"/>
  <c r="L10" i="36"/>
  <c r="K10" i="36"/>
  <c r="J10" i="36"/>
  <c r="I10" i="36"/>
  <c r="H10" i="36"/>
  <c r="G10" i="36"/>
  <c r="F10" i="36"/>
  <c r="E10" i="36"/>
  <c r="D10" i="36"/>
  <c r="C10" i="36"/>
  <c r="S10" i="30"/>
  <c r="S10" i="29"/>
  <c r="R15" i="29"/>
  <c r="S10" i="36" l="1"/>
  <c r="S29" i="29"/>
  <c r="E30" i="36"/>
  <c r="S30" i="30"/>
  <c r="J31" i="36"/>
  <c r="G24" i="36"/>
  <c r="G29" i="36"/>
  <c r="M29" i="36"/>
  <c r="S25" i="30"/>
  <c r="G23" i="36"/>
  <c r="O24" i="36"/>
  <c r="I27" i="36"/>
  <c r="M23" i="36"/>
  <c r="C24" i="36"/>
  <c r="I24" i="36"/>
  <c r="K25" i="36"/>
  <c r="Q25" i="36"/>
  <c r="M26" i="36"/>
  <c r="C27" i="36"/>
  <c r="O27" i="36"/>
  <c r="S21" i="30"/>
  <c r="E18" i="36"/>
  <c r="H19" i="36"/>
  <c r="R21" i="36"/>
  <c r="C20" i="36"/>
  <c r="R16" i="36"/>
  <c r="D18" i="36"/>
  <c r="D15" i="36" s="1"/>
  <c r="E20" i="36"/>
  <c r="J13" i="36"/>
  <c r="J14" i="36"/>
  <c r="H14" i="36"/>
  <c r="L13" i="36"/>
  <c r="K12" i="36"/>
  <c r="I30" i="36"/>
  <c r="I31" i="36"/>
  <c r="S31" i="29"/>
  <c r="S30" i="29"/>
  <c r="K30" i="36"/>
  <c r="G31" i="36"/>
  <c r="M31" i="36"/>
  <c r="E28" i="36"/>
  <c r="G26" i="36"/>
  <c r="S24" i="29"/>
  <c r="I23" i="36"/>
  <c r="E24" i="36"/>
  <c r="Q24" i="36"/>
  <c r="M25" i="36"/>
  <c r="I26" i="36"/>
  <c r="E27" i="36"/>
  <c r="Q27" i="36"/>
  <c r="G28" i="36"/>
  <c r="I29" i="36"/>
  <c r="O29" i="36"/>
  <c r="K28" i="36"/>
  <c r="C21" i="36"/>
  <c r="M17" i="36"/>
  <c r="L15" i="29"/>
  <c r="F18" i="36"/>
  <c r="S17" i="29"/>
  <c r="S18" i="29"/>
  <c r="J17" i="36"/>
  <c r="P15" i="29"/>
  <c r="F16" i="36"/>
  <c r="H17" i="36"/>
  <c r="N17" i="36"/>
  <c r="J18" i="36"/>
  <c r="L19" i="36"/>
  <c r="L15" i="36" s="1"/>
  <c r="R19" i="36"/>
  <c r="N20" i="36"/>
  <c r="P21" i="36"/>
  <c r="P15" i="36" s="1"/>
  <c r="Q17" i="36"/>
  <c r="G15" i="29"/>
  <c r="C16" i="36"/>
  <c r="I16" i="36"/>
  <c r="O16" i="36"/>
  <c r="E17" i="36"/>
  <c r="E15" i="36" s="1"/>
  <c r="K17" i="36"/>
  <c r="G18" i="36"/>
  <c r="M18" i="36"/>
  <c r="I19" i="36"/>
  <c r="K20" i="36"/>
  <c r="Q20" i="36"/>
  <c r="M21" i="36"/>
  <c r="O19" i="36"/>
  <c r="P14" i="36"/>
  <c r="D14" i="36"/>
  <c r="N13" i="36"/>
  <c r="H13" i="36"/>
  <c r="S12" i="29"/>
  <c r="C29" i="36"/>
  <c r="L22" i="36"/>
  <c r="F22" i="36"/>
  <c r="S27" i="30"/>
  <c r="C23" i="36"/>
  <c r="C26" i="36"/>
  <c r="P22" i="36"/>
  <c r="J22" i="36"/>
  <c r="H22" i="36"/>
  <c r="S16" i="30"/>
  <c r="C19" i="36"/>
  <c r="G21" i="36"/>
  <c r="S17" i="30"/>
  <c r="O12" i="36"/>
  <c r="S14" i="30"/>
  <c r="C13" i="36"/>
  <c r="S13" i="30"/>
  <c r="C14" i="36"/>
  <c r="S13" i="29"/>
  <c r="E13" i="36"/>
  <c r="S12" i="30"/>
  <c r="D22" i="36"/>
  <c r="N22" i="36"/>
  <c r="S16" i="29"/>
  <c r="C15" i="29"/>
  <c r="D10" i="25"/>
  <c r="C11" i="25"/>
  <c r="C10" i="25"/>
  <c r="H25" i="25"/>
  <c r="H10" i="25"/>
  <c r="J30" i="25"/>
  <c r="J28" i="25"/>
  <c r="J10" i="25"/>
  <c r="Q30" i="25"/>
  <c r="Q28" i="25"/>
  <c r="P30" i="25"/>
  <c r="P28" i="25"/>
  <c r="O30" i="25"/>
  <c r="O28" i="25"/>
  <c r="N30" i="25"/>
  <c r="N28" i="25"/>
  <c r="M30" i="25"/>
  <c r="M28" i="25"/>
  <c r="L30" i="25"/>
  <c r="L28" i="25"/>
  <c r="I30" i="25"/>
  <c r="I28" i="25"/>
  <c r="F30" i="25"/>
  <c r="F28" i="25"/>
  <c r="E30" i="25"/>
  <c r="E28" i="25"/>
  <c r="D30" i="25"/>
  <c r="D28" i="25"/>
  <c r="C30" i="25"/>
  <c r="C28" i="25"/>
  <c r="N11" i="25"/>
  <c r="N10" i="25"/>
  <c r="C13" i="25"/>
  <c r="D13" i="25"/>
  <c r="D11" i="25"/>
  <c r="P25" i="25"/>
  <c r="R12" i="25"/>
  <c r="R14" i="25"/>
  <c r="R15" i="25"/>
  <c r="R16" i="25"/>
  <c r="R17" i="25"/>
  <c r="R18" i="25"/>
  <c r="R19" i="25"/>
  <c r="R21" i="25"/>
  <c r="R22" i="25"/>
  <c r="R23" i="25"/>
  <c r="R24" i="25"/>
  <c r="R29" i="25"/>
  <c r="R25" i="25" l="1"/>
  <c r="K22" i="36"/>
  <c r="S12" i="36"/>
  <c r="O22" i="36"/>
  <c r="G22" i="36"/>
  <c r="E22" i="36"/>
  <c r="E32" i="36" s="1"/>
  <c r="E33" i="36" s="1"/>
  <c r="S26" i="36"/>
  <c r="M22" i="36"/>
  <c r="R15" i="36"/>
  <c r="J15" i="36"/>
  <c r="J32" i="36" s="1"/>
  <c r="J33" i="36" s="1"/>
  <c r="H15" i="36"/>
  <c r="H32" i="36" s="1"/>
  <c r="H33" i="36" s="1"/>
  <c r="S17" i="36"/>
  <c r="D32" i="36"/>
  <c r="D33" i="36" s="1"/>
  <c r="S14" i="36"/>
  <c r="S30" i="36"/>
  <c r="S31" i="36"/>
  <c r="S24" i="36"/>
  <c r="I22" i="36"/>
  <c r="S28" i="36"/>
  <c r="S29" i="36"/>
  <c r="S23" i="36"/>
  <c r="P32" i="36"/>
  <c r="P33" i="36" s="1"/>
  <c r="Q15" i="36"/>
  <c r="S21" i="36"/>
  <c r="O15" i="36"/>
  <c r="I15" i="36"/>
  <c r="S19" i="36"/>
  <c r="M15" i="36"/>
  <c r="C15" i="36"/>
  <c r="G15" i="36"/>
  <c r="K15" i="36"/>
  <c r="N15" i="36"/>
  <c r="N32" i="36" s="1"/>
  <c r="N33" i="36" s="1"/>
  <c r="F15" i="36"/>
  <c r="F32" i="36" s="1"/>
  <c r="F33" i="36" s="1"/>
  <c r="S16" i="36"/>
  <c r="S20" i="36"/>
  <c r="S18" i="36"/>
  <c r="S15" i="29"/>
  <c r="S13" i="36"/>
  <c r="L32" i="36"/>
  <c r="L33" i="36" s="1"/>
  <c r="C22" i="36"/>
  <c r="R28" i="25"/>
  <c r="R30" i="25"/>
  <c r="R26" i="25"/>
  <c r="R11" i="25"/>
  <c r="R10" i="25"/>
  <c r="C8" i="25"/>
  <c r="R8" i="25" s="1"/>
  <c r="K32" i="36" l="1"/>
  <c r="K33" i="36" s="1"/>
  <c r="O32" i="36"/>
  <c r="O33" i="36" s="1"/>
  <c r="G32" i="36"/>
  <c r="G33" i="36" s="1"/>
  <c r="M32" i="36"/>
  <c r="M33" i="36" s="1"/>
  <c r="I32" i="36"/>
  <c r="I33" i="36" s="1"/>
  <c r="S15" i="36"/>
  <c r="C32" i="36"/>
  <c r="C33" i="36" s="1"/>
  <c r="N13" i="25" l="1"/>
  <c r="O22" i="30"/>
  <c r="O15" i="30"/>
  <c r="O22" i="29"/>
  <c r="K22" i="30"/>
  <c r="K15" i="30"/>
  <c r="K22" i="29"/>
  <c r="J13" i="25"/>
  <c r="H13" i="25"/>
  <c r="O32" i="29" l="1"/>
  <c r="O33" i="29" s="1"/>
  <c r="I15" i="30"/>
  <c r="I22" i="30"/>
  <c r="M22" i="30"/>
  <c r="M22" i="29"/>
  <c r="D15" i="30"/>
  <c r="E15" i="30"/>
  <c r="F15" i="30"/>
  <c r="N15" i="30"/>
  <c r="P15" i="30"/>
  <c r="R15" i="30"/>
  <c r="C15" i="30"/>
  <c r="C32" i="30" s="1"/>
  <c r="D22" i="30"/>
  <c r="E22" i="30"/>
  <c r="F22" i="30"/>
  <c r="N22" i="30"/>
  <c r="P22" i="30"/>
  <c r="R22" i="30"/>
  <c r="D22" i="29"/>
  <c r="E22" i="29"/>
  <c r="F22" i="29"/>
  <c r="N22" i="29"/>
  <c r="P22" i="29"/>
  <c r="C22" i="29"/>
  <c r="E13" i="25"/>
  <c r="M13" i="25"/>
  <c r="O13" i="25"/>
  <c r="P13" i="25"/>
  <c r="Q13" i="25"/>
  <c r="M15" i="30" l="1"/>
  <c r="I32" i="30"/>
  <c r="I33" i="30" s="1"/>
  <c r="H22" i="30"/>
  <c r="P32" i="29"/>
  <c r="P33" i="29" s="1"/>
  <c r="G22" i="30"/>
  <c r="Q22" i="30"/>
  <c r="Q15" i="30"/>
  <c r="I13" i="25"/>
  <c r="F13" i="25"/>
  <c r="G13" i="25"/>
  <c r="L13" i="25"/>
  <c r="K13" i="25"/>
  <c r="R13" i="25" l="1"/>
  <c r="G22" i="29"/>
  <c r="H22" i="29"/>
  <c r="J22" i="29"/>
  <c r="L22" i="30"/>
  <c r="L22" i="29"/>
  <c r="G15" i="30"/>
  <c r="H15" i="30"/>
  <c r="J15" i="30"/>
  <c r="J22" i="30"/>
  <c r="L15" i="30"/>
  <c r="S15" i="30" l="1"/>
  <c r="S22" i="30"/>
  <c r="M32" i="30"/>
  <c r="M32" i="29" l="1"/>
  <c r="Q32" i="30"/>
  <c r="L32" i="30"/>
  <c r="F32" i="30"/>
  <c r="E32" i="30" l="1"/>
  <c r="E33" i="30" s="1"/>
  <c r="H32" i="30"/>
  <c r="H33" i="30" s="1"/>
  <c r="G32" i="29"/>
  <c r="G33" i="29" s="1"/>
  <c r="E32" i="29"/>
  <c r="E33" i="29" s="1"/>
  <c r="N32" i="30"/>
  <c r="N33" i="30" s="1"/>
  <c r="G32" i="30"/>
  <c r="G33" i="30" s="1"/>
  <c r="R32" i="30"/>
  <c r="R33" i="30" s="1"/>
  <c r="N32" i="29"/>
  <c r="N33" i="29" s="1"/>
  <c r="P32" i="30"/>
  <c r="P33" i="30" s="1"/>
  <c r="D32" i="30"/>
  <c r="D33" i="30" s="1"/>
  <c r="D32" i="29"/>
  <c r="D33" i="29" s="1"/>
  <c r="L32" i="29"/>
  <c r="H32" i="29"/>
  <c r="H33" i="29" s="1"/>
  <c r="F32" i="29"/>
  <c r="M33" i="30"/>
  <c r="M33" i="29"/>
  <c r="Q33" i="30"/>
  <c r="L33" i="30"/>
  <c r="F33" i="30"/>
  <c r="F33" i="29" l="1"/>
  <c r="L33" i="29"/>
  <c r="C33" i="30"/>
  <c r="K32" i="29" l="1"/>
  <c r="K33" i="29" l="1"/>
  <c r="I22" i="29"/>
  <c r="K32" i="30"/>
  <c r="O32" i="30"/>
  <c r="O33" i="30" s="1"/>
  <c r="K33" i="30" l="1"/>
  <c r="I32" i="29"/>
  <c r="I33" i="29" s="1"/>
  <c r="J32" i="29" l="1"/>
  <c r="J32" i="30"/>
  <c r="S32" i="30" s="1"/>
  <c r="J33" i="30" l="1"/>
  <c r="J33" i="29"/>
  <c r="R27" i="25" l="1"/>
  <c r="L20" i="25"/>
  <c r="L31" i="25" s="1"/>
  <c r="L32" i="25" s="1"/>
  <c r="G20" i="25"/>
  <c r="G31" i="25" s="1"/>
  <c r="G32" i="25" s="1"/>
  <c r="M20" i="25"/>
  <c r="M31" i="25" s="1"/>
  <c r="M32" i="25" s="1"/>
  <c r="F20" i="25"/>
  <c r="F31" i="25" s="1"/>
  <c r="F32" i="25" s="1"/>
  <c r="H20" i="25"/>
  <c r="H31" i="25" s="1"/>
  <c r="H32" i="25" s="1"/>
  <c r="N20" i="25"/>
  <c r="N31" i="25" s="1"/>
  <c r="N32" i="25" s="1"/>
  <c r="I20" i="25"/>
  <c r="I31" i="25" s="1"/>
  <c r="I32" i="25" s="1"/>
  <c r="O20" i="25"/>
  <c r="O31" i="25" s="1"/>
  <c r="O32" i="25" s="1"/>
  <c r="D20" i="25"/>
  <c r="D31" i="25" s="1"/>
  <c r="D32" i="25" s="1"/>
  <c r="J20" i="25"/>
  <c r="J31" i="25" s="1"/>
  <c r="J32" i="25" s="1"/>
  <c r="P20" i="25"/>
  <c r="P31" i="25" s="1"/>
  <c r="P32" i="25" s="1"/>
  <c r="E20" i="25"/>
  <c r="E31" i="25" s="1"/>
  <c r="E32" i="25" s="1"/>
  <c r="K20" i="25"/>
  <c r="K31" i="25" s="1"/>
  <c r="K32" i="25" s="1"/>
  <c r="C20" i="25"/>
  <c r="C31" i="25" s="1"/>
  <c r="Q20" i="25"/>
  <c r="Q31" i="25" s="1"/>
  <c r="Q32" i="25" s="1"/>
  <c r="R31" i="25" l="1"/>
  <c r="R32" i="25" s="1"/>
  <c r="R20" i="25"/>
  <c r="C32" i="25"/>
  <c r="C32" i="29" l="1"/>
  <c r="C33" i="29" s="1"/>
  <c r="S14" i="29"/>
  <c r="S27" i="36" l="1"/>
  <c r="S27" i="29" l="1"/>
  <c r="Q22" i="29"/>
  <c r="Q32" i="29" s="1"/>
  <c r="Q22" i="36"/>
  <c r="Q32" i="36" l="1"/>
  <c r="Q33" i="29"/>
  <c r="Q33" i="36" l="1"/>
  <c r="S25" i="29"/>
  <c r="R22" i="29" l="1"/>
  <c r="S25" i="36" l="1"/>
  <c r="R22" i="36"/>
  <c r="S22" i="29"/>
  <c r="R32" i="29"/>
  <c r="S32" i="29" l="1"/>
  <c r="R33" i="29"/>
  <c r="S22" i="36"/>
  <c r="R32" i="36"/>
  <c r="R33" i="36" l="1"/>
  <c r="S32" i="36"/>
  <c r="S33" i="36" s="1"/>
</calcChain>
</file>

<file path=xl/sharedStrings.xml><?xml version="1.0" encoding="utf-8"?>
<sst xmlns="http://schemas.openxmlformats.org/spreadsheetml/2006/main" count="195" uniqueCount="80">
  <si>
    <t>Rādītāji</t>
  </si>
  <si>
    <t>Ekonomiskās klasifikācijas kodi</t>
  </si>
  <si>
    <t>Pasta,telefona un citi sakaru pakalpojumi</t>
  </si>
  <si>
    <t>Izdevumi par komunālajiem pakalpojumiem</t>
  </si>
  <si>
    <t>Iestādes administratīvie izdevumi un ar iestādes darbības nodrošināšanu saistītie izdevumi</t>
  </si>
  <si>
    <t>Informācijas tehnoloģiju pakalpojumi</t>
  </si>
  <si>
    <t>Kurināmais un enerģētiskie materiāli (izņemot degvielas izdevumus (2322))</t>
  </si>
  <si>
    <t>Kārtējā remonta un iestāžu uzturēšanas materiāli</t>
  </si>
  <si>
    <t>Izdevumi periodikas iegādei</t>
  </si>
  <si>
    <t>Kopā  gadā</t>
  </si>
  <si>
    <t>Madonas Valsts ģimnāzija</t>
  </si>
  <si>
    <t>Aronas pag. Kusas pamatsk.</t>
  </si>
  <si>
    <t>Barkavas pamatsk.</t>
  </si>
  <si>
    <t>Bērzaunes pamatsk.</t>
  </si>
  <si>
    <t>Dzelzavas pamatsk.</t>
  </si>
  <si>
    <t>Kalsnavas pamatsk.</t>
  </si>
  <si>
    <t>Lazdonas pamatsk.</t>
  </si>
  <si>
    <t>Liezēres pamatsk.</t>
  </si>
  <si>
    <t>Praulienas pamatsk.</t>
  </si>
  <si>
    <t>Pavisam</t>
  </si>
  <si>
    <t>PII "Kastanītis"</t>
  </si>
  <si>
    <t xml:space="preserve">PII "Priedīte" </t>
  </si>
  <si>
    <t xml:space="preserve">PII "Saulīte" </t>
  </si>
  <si>
    <t>Aronas PII  "Sprīdītis"</t>
  </si>
  <si>
    <t>Bērzaunes PII "Vārpiņa"</t>
  </si>
  <si>
    <t>Dzelzavas PII "Rūķis"</t>
  </si>
  <si>
    <t>Kalsnavas PII "Lācītis Pūks"</t>
  </si>
  <si>
    <t>Praulienas PII "Pasaciņa"</t>
  </si>
  <si>
    <t>Izdevumi uz vienu audzēkni starppašvaldību norēķiniem (mēnesī EUR)</t>
  </si>
  <si>
    <t xml:space="preserve">Ļaudonas PII "Brīnumdārzs" </t>
  </si>
  <si>
    <t>Mācību līdzekļi un materiāli  (izņemot IZM dotāciju)</t>
  </si>
  <si>
    <t>Bibliotēku krājumi (izņemot IZM dotāciju)</t>
  </si>
  <si>
    <t>Mācību, darba un dienesta komandējumi,  darba braucieni (izņemot ārvalstu mācību, darba un dienesta komandējumus,  darba braucienus (2120))</t>
  </si>
  <si>
    <t>Remontdarbi un iestāžu uzturēšanas pakalpojumi (izņemot  kapitālo remontu)</t>
  </si>
  <si>
    <t>Īre un noma (izņemot transportlīdzekļu nomas maksu(2262))</t>
  </si>
  <si>
    <t xml:space="preserve">Krājumi, materiāli, energoresursi, prece, biroja preces un inventārs, kurus neuzskaita pamatkapitāla veidošanā </t>
  </si>
  <si>
    <t>Izdevumi par precēm iestādes darbības nodrošināšanai</t>
  </si>
  <si>
    <t>Zāles,ķimikālijas,labaratorijas preces,  medicīniskās ierīces,medicīniskie instrumenti</t>
  </si>
  <si>
    <t>Valsts un pašvaldību aprūpē un apgādē esošo personu uzturēšana (izņemot ēdināšanas izdevumus 2363))</t>
  </si>
  <si>
    <t>Atalgojums (izņemot mērķdotācijas, prēmijas naudas balvas un materiālo stimulēšanu (1148)darba devēja piešķirtos labumus un maksājumus (1170))</t>
  </si>
  <si>
    <t>Pakalpojumi</t>
  </si>
  <si>
    <t>Darba devēja valsts obligātas sociālās apdrošināšanas iemaksas, pabalsti un kompensācijas (izņemot darba devēja VSAOI , kuras piešķir kā mērķdot.,prēmijas un naudas balvas(1148),darba dev.piešķ.mater.labumi (1170))</t>
  </si>
  <si>
    <t>Darba samaksa  (izņemot mērķdotācijas, prēmijas naudas balvas un materiālo stimulēšanu (1148)darba devēja piešķirtos labumus un maksājumus (1170))</t>
  </si>
  <si>
    <t>Mācību, darba un dienesta komandējumi, dienesta, darba braucieni (izņemot ārvalstu mācību, darba un dienesta komandējumus, dienesta, darba braucienus (2120))</t>
  </si>
  <si>
    <t>Pakalpojumu samaksa</t>
  </si>
  <si>
    <t>Remontdarbi un iestāžu uzturēšanas pakalpojumi (izņemot ēku,būvju un ceļu kapitālo remontu)</t>
  </si>
  <si>
    <t>Īres un nomas maksa (izņemot transportlīdzekļu nomas maksu(2262))</t>
  </si>
  <si>
    <t xml:space="preserve">Krājumi, materiāli, energoresursi, prece, biroja prece un inventārs, kurus neuzskaita pamatkapitāla veidošanā </t>
  </si>
  <si>
    <t>Biroja preces un inventārs</t>
  </si>
  <si>
    <t>Zāles, medicīniskās ierīces,medicīniskie instrumenti</t>
  </si>
  <si>
    <t>Valsts un pašvaldību aprūpē un apgādē esošo personu uzturēšanas izdevumi (izņemot ēdināšanas izdevumus 2363))</t>
  </si>
  <si>
    <t>Madonas pilsētas vidusskola</t>
  </si>
  <si>
    <t>Valsts un pašvaldību aprūpē un apgādē esošo personu uzturēšanas izdevumi (1.-4.klases ēdināšanas izdevumi pašvaldības finansētā daļa)</t>
  </si>
  <si>
    <t>Ošupes pag. Degumnieku pamatsk.</t>
  </si>
  <si>
    <t>Valsts un pašvaldību aprūpē un apgādē esošo personu uzturēšanas izdevumi (5.-12. klases ēdināšanas izdevumi pašvaldības finansētā daļa)</t>
  </si>
  <si>
    <t>Ēdināšanas izdevumi - pašvaldības finansētās brīvpusdienas  (izņemot maksas pakalpojumus)</t>
  </si>
  <si>
    <t>Cesvaines PII "Brīnumzeme"</t>
  </si>
  <si>
    <t>Cesvaines vidusskola</t>
  </si>
  <si>
    <t>Ērgļu PII "Pienenīte"</t>
  </si>
  <si>
    <t>Ērgļu vidusskola</t>
  </si>
  <si>
    <t>Lubānas vidusskola</t>
  </si>
  <si>
    <t>Lubānas PII "Rūķīši"</t>
  </si>
  <si>
    <t xml:space="preserve">        09.100. Pirmsskolas  izglītības iestāžu izdevumi pēc 2021.gada naudas plūsmas (eiro)</t>
  </si>
  <si>
    <t xml:space="preserve">Lazdonas pamatsk. </t>
  </si>
  <si>
    <t xml:space="preserve">Izmaksu aprēķins 2023. gadā par vienu audzēkni    </t>
  </si>
  <si>
    <t>Pēc 2022. gada naudas plūsmas</t>
  </si>
  <si>
    <t>Skolēnu skaits uz 01.01.2023</t>
  </si>
  <si>
    <t>Bērnu skaits uz 01.01.2023</t>
  </si>
  <si>
    <t>Pēc 2022.gada naudas plūsmas</t>
  </si>
  <si>
    <t xml:space="preserve">        09.100. Pirmsskolas  izglītības iestāžu izdevumi pēc 2022.gada naudas plūsmas (eiro)</t>
  </si>
  <si>
    <t>Izmaksu aprēķins 2023. gadā PII (kopā)</t>
  </si>
  <si>
    <t>Andreja Eglīša Ļaudonas pamatskola</t>
  </si>
  <si>
    <t>Izdevumi uz vienu bērnu līdz 5 gadu vecumam starppašvaldību norēķiniem (mēnesī EUR)</t>
  </si>
  <si>
    <t xml:space="preserve">Izmaksu aprēķins 2023. gadā bērniem līdz 5 gadu vecumam    </t>
  </si>
  <si>
    <t>Izdevumi uz vienu bērnu no 5 gadu vecuma starppašvaldību norēķiniem (mēnesī EUR)</t>
  </si>
  <si>
    <t xml:space="preserve">Izmaksu aprēķins 2023. gadā bērniem no 5 gadu vecuma   </t>
  </si>
  <si>
    <t>(protokols Nr. 3, 51. p )</t>
  </si>
  <si>
    <t xml:space="preserve">Pielikums </t>
  </si>
  <si>
    <t>Madonas novada pašvaldības domes</t>
  </si>
  <si>
    <t>28.02.2023. lēmumam Nr. 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</si>
</sst>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0.0%"/>
    <numFmt numFmtId="166" formatCode="0.0"/>
    <numFmt numFmtId="167" formatCode="_-* #,##0_-;\-* #,##0_-;_-* &quot;-&quot;??_-;_-@_-"/>
  </numFmts>
  <fonts count="43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Arial"/>
      <family val="2"/>
      <charset val="186"/>
    </font>
    <font>
      <sz val="12"/>
      <name val="Arial"/>
      <family val="2"/>
      <charset val="186"/>
    </font>
    <font>
      <sz val="10"/>
      <name val="Arial"/>
      <family val="2"/>
      <charset val="186"/>
    </font>
    <font>
      <i/>
      <sz val="8"/>
      <name val="Arial"/>
      <family val="2"/>
      <charset val="186"/>
    </font>
    <font>
      <b/>
      <sz val="10"/>
      <name val="Arial"/>
      <family val="2"/>
      <charset val="186"/>
    </font>
    <font>
      <i/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9"/>
      <name val="Arial"/>
      <family val="2"/>
      <charset val="186"/>
    </font>
    <font>
      <sz val="11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color rgb="FFFF0000"/>
      <name val="Arial"/>
      <family val="2"/>
      <charset val="186"/>
    </font>
    <font>
      <i/>
      <sz val="10"/>
      <color theme="1"/>
      <name val="Times New Roman"/>
      <family val="1"/>
      <charset val="186"/>
    </font>
    <font>
      <sz val="10"/>
      <name val="Arial"/>
      <family val="2"/>
      <charset val="186"/>
    </font>
    <font>
      <b/>
      <sz val="11"/>
      <name val="Arial"/>
      <family val="2"/>
      <charset val="186"/>
    </font>
    <font>
      <b/>
      <sz val="11"/>
      <color theme="1"/>
      <name val="Arial"/>
      <family val="2"/>
      <charset val="186"/>
    </font>
    <font>
      <sz val="11"/>
      <name val="Arial"/>
      <family val="2"/>
      <charset val="186"/>
    </font>
    <font>
      <sz val="11"/>
      <color theme="1"/>
      <name val="Arial"/>
      <family val="2"/>
      <charset val="186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12" fillId="0" borderId="0"/>
    <xf numFmtId="0" fontId="10" fillId="0" borderId="0"/>
    <xf numFmtId="0" fontId="16" fillId="0" borderId="0"/>
    <xf numFmtId="9" fontId="4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3" fillId="0" borderId="0"/>
    <xf numFmtId="0" fontId="27" fillId="0" borderId="0" applyNumberFormat="0" applyFill="0" applyBorder="0" applyAlignment="0" applyProtection="0"/>
    <xf numFmtId="0" fontId="28" fillId="0" borderId="8" applyNumberFormat="0" applyFill="0" applyAlignment="0" applyProtection="0"/>
    <xf numFmtId="0" fontId="29" fillId="0" borderId="9" applyNumberFormat="0" applyFill="0" applyAlignment="0" applyProtection="0"/>
    <xf numFmtId="0" fontId="30" fillId="0" borderId="10" applyNumberFormat="0" applyFill="0" applyAlignment="0" applyProtection="0"/>
    <xf numFmtId="0" fontId="30" fillId="0" borderId="0" applyNumberFormat="0" applyFill="0" applyBorder="0" applyAlignment="0" applyProtection="0"/>
    <xf numFmtId="0" fontId="31" fillId="5" borderId="0" applyNumberFormat="0" applyBorder="0" applyAlignment="0" applyProtection="0"/>
    <xf numFmtId="0" fontId="32" fillId="6" borderId="0" applyNumberFormat="0" applyBorder="0" applyAlignment="0" applyProtection="0"/>
    <xf numFmtId="0" fontId="33" fillId="7" borderId="0" applyNumberFormat="0" applyBorder="0" applyAlignment="0" applyProtection="0"/>
    <xf numFmtId="0" fontId="34" fillId="8" borderId="11" applyNumberFormat="0" applyAlignment="0" applyProtection="0"/>
    <xf numFmtId="0" fontId="35" fillId="9" borderId="12" applyNumberFormat="0" applyAlignment="0" applyProtection="0"/>
    <xf numFmtId="0" fontId="36" fillId="9" borderId="11" applyNumberFormat="0" applyAlignment="0" applyProtection="0"/>
    <xf numFmtId="0" fontId="37" fillId="0" borderId="13" applyNumberFormat="0" applyFill="0" applyAlignment="0" applyProtection="0"/>
    <xf numFmtId="0" fontId="38" fillId="10" borderId="14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6" applyNumberFormat="0" applyFill="0" applyAlignment="0" applyProtection="0"/>
    <xf numFmtId="0" fontId="4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4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4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4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4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4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1" borderId="15" applyNumberFormat="0" applyFont="0" applyAlignment="0" applyProtection="0"/>
    <xf numFmtId="0" fontId="1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8">
    <xf numFmtId="0" fontId="0" fillId="0" borderId="0" xfId="0"/>
    <xf numFmtId="0" fontId="7" fillId="0" borderId="0" xfId="0" applyFont="1"/>
    <xf numFmtId="0" fontId="6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2" fontId="6" fillId="0" borderId="0" xfId="0" applyNumberFormat="1" applyFont="1"/>
    <xf numFmtId="0" fontId="11" fillId="0" borderId="0" xfId="0" applyFont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4" fillId="0" borderId="0" xfId="0" applyFont="1"/>
    <xf numFmtId="1" fontId="0" fillId="0" borderId="0" xfId="0" applyNumberFormat="1"/>
    <xf numFmtId="2" fontId="0" fillId="0" borderId="0" xfId="0" applyNumberFormat="1"/>
    <xf numFmtId="0" fontId="6" fillId="0" borderId="1" xfId="1" applyFont="1" applyBorder="1" applyAlignment="1">
      <alignment vertical="top" wrapText="1"/>
    </xf>
    <xf numFmtId="0" fontId="6" fillId="0" borderId="0" xfId="1" applyFont="1" applyAlignment="1">
      <alignment vertical="top" wrapText="1"/>
    </xf>
    <xf numFmtId="0" fontId="15" fillId="0" borderId="0" xfId="0" applyFont="1" applyAlignment="1">
      <alignment horizontal="right"/>
    </xf>
    <xf numFmtId="0" fontId="6" fillId="0" borderId="0" xfId="0" applyFont="1"/>
    <xf numFmtId="0" fontId="7" fillId="0" borderId="1" xfId="0" applyFont="1" applyBorder="1"/>
    <xf numFmtId="1" fontId="14" fillId="0" borderId="1" xfId="0" applyNumberFormat="1" applyFont="1" applyBorder="1"/>
    <xf numFmtId="165" fontId="17" fillId="0" borderId="0" xfId="0" applyNumberFormat="1" applyFont="1"/>
    <xf numFmtId="0" fontId="14" fillId="0" borderId="1" xfId="0" applyFont="1" applyBorder="1"/>
    <xf numFmtId="0" fontId="6" fillId="0" borderId="2" xfId="2" applyFont="1" applyBorder="1" applyAlignment="1">
      <alignment vertical="top" wrapText="1"/>
    </xf>
    <xf numFmtId="0" fontId="6" fillId="0" borderId="2" xfId="1" applyFont="1" applyBorder="1" applyAlignment="1">
      <alignment vertical="top" wrapText="1"/>
    </xf>
    <xf numFmtId="0" fontId="18" fillId="0" borderId="1" xfId="0" applyFont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wrapText="1"/>
    </xf>
    <xf numFmtId="0" fontId="17" fillId="0" borderId="0" xfId="0" applyFont="1"/>
    <xf numFmtId="165" fontId="19" fillId="0" borderId="0" xfId="0" applyNumberFormat="1" applyFont="1"/>
    <xf numFmtId="0" fontId="8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165" fontId="17" fillId="0" borderId="0" xfId="4" applyNumberFormat="1" applyFont="1"/>
    <xf numFmtId="0" fontId="10" fillId="0" borderId="0" xfId="0" applyFont="1"/>
    <xf numFmtId="0" fontId="9" fillId="0" borderId="2" xfId="0" applyFont="1" applyBorder="1" applyAlignment="1">
      <alignment wrapText="1"/>
    </xf>
    <xf numFmtId="0" fontId="0" fillId="0" borderId="5" xfId="0" applyBorder="1"/>
    <xf numFmtId="166" fontId="0" fillId="0" borderId="0" xfId="0" applyNumberFormat="1"/>
    <xf numFmtId="1" fontId="7" fillId="0" borderId="0" xfId="0" applyNumberFormat="1" applyFont="1"/>
    <xf numFmtId="1" fontId="14" fillId="0" borderId="0" xfId="0" applyNumberFormat="1" applyFont="1"/>
    <xf numFmtId="2" fontId="14" fillId="0" borderId="0" xfId="0" applyNumberFormat="1" applyFont="1"/>
    <xf numFmtId="0" fontId="7" fillId="3" borderId="2" xfId="0" applyFont="1" applyFill="1" applyBorder="1" applyAlignment="1">
      <alignment horizontal="right"/>
    </xf>
    <xf numFmtId="0" fontId="7" fillId="3" borderId="1" xfId="0" applyFont="1" applyFill="1" applyBorder="1" applyAlignment="1">
      <alignment wrapText="1"/>
    </xf>
    <xf numFmtId="0" fontId="6" fillId="0" borderId="1" xfId="0" applyFont="1" applyBorder="1" applyAlignment="1">
      <alignment horizontal="left" wrapText="1"/>
    </xf>
    <xf numFmtId="1" fontId="20" fillId="0" borderId="0" xfId="0" applyNumberFormat="1" applyFont="1"/>
    <xf numFmtId="0" fontId="21" fillId="3" borderId="2" xfId="0" applyFont="1" applyFill="1" applyBorder="1" applyAlignment="1">
      <alignment horizontal="right"/>
    </xf>
    <xf numFmtId="0" fontId="21" fillId="3" borderId="1" xfId="0" applyFont="1" applyFill="1" applyBorder="1" applyAlignment="1">
      <alignment horizontal="left" wrapText="1" indent="1"/>
    </xf>
    <xf numFmtId="167" fontId="23" fillId="0" borderId="1" xfId="5" applyNumberFormat="1" applyFont="1" applyFill="1" applyBorder="1"/>
    <xf numFmtId="167" fontId="23" fillId="0" borderId="1" xfId="5" applyNumberFormat="1" applyFont="1" applyBorder="1"/>
    <xf numFmtId="167" fontId="24" fillId="3" borderId="1" xfId="5" applyNumberFormat="1" applyFont="1" applyFill="1" applyBorder="1"/>
    <xf numFmtId="167" fontId="25" fillId="0" borderId="1" xfId="5" applyNumberFormat="1" applyFont="1" applyBorder="1"/>
    <xf numFmtId="167" fontId="26" fillId="3" borderId="1" xfId="5" applyNumberFormat="1" applyFont="1" applyFill="1" applyBorder="1"/>
    <xf numFmtId="1" fontId="23" fillId="0" borderId="1" xfId="0" applyNumberFormat="1" applyFont="1" applyBorder="1"/>
    <xf numFmtId="167" fontId="24" fillId="0" borderId="1" xfId="5" applyNumberFormat="1" applyFont="1" applyBorder="1"/>
    <xf numFmtId="167" fontId="23" fillId="0" borderId="1" xfId="5" applyNumberFormat="1" applyFont="1" applyFill="1" applyBorder="1" applyAlignment="1">
      <alignment horizontal="left"/>
    </xf>
    <xf numFmtId="167" fontId="23" fillId="0" borderId="1" xfId="5" applyNumberFormat="1" applyFont="1" applyBorder="1" applyAlignment="1">
      <alignment horizontal="left"/>
    </xf>
    <xf numFmtId="167" fontId="25" fillId="0" borderId="1" xfId="5" applyNumberFormat="1" applyFont="1" applyBorder="1" applyAlignment="1">
      <alignment horizontal="left"/>
    </xf>
    <xf numFmtId="167" fontId="25" fillId="0" borderId="1" xfId="5" applyNumberFormat="1" applyFont="1" applyFill="1" applyBorder="1" applyAlignment="1">
      <alignment horizontal="left"/>
    </xf>
    <xf numFmtId="167" fontId="23" fillId="2" borderId="1" xfId="5" applyNumberFormat="1" applyFont="1" applyFill="1" applyBorder="1" applyAlignment="1">
      <alignment horizontal="left"/>
    </xf>
    <xf numFmtId="2" fontId="23" fillId="2" borderId="1" xfId="0" applyNumberFormat="1" applyFont="1" applyFill="1" applyBorder="1"/>
    <xf numFmtId="167" fontId="23" fillId="2" borderId="1" xfId="5" applyNumberFormat="1" applyFont="1" applyFill="1" applyBorder="1"/>
    <xf numFmtId="164" fontId="23" fillId="2" borderId="1" xfId="5" applyFont="1" applyFill="1" applyBorder="1"/>
    <xf numFmtId="167" fontId="25" fillId="3" borderId="1" xfId="5" applyNumberFormat="1" applyFont="1" applyFill="1" applyBorder="1"/>
    <xf numFmtId="167" fontId="23" fillId="4" borderId="1" xfId="5" applyNumberFormat="1" applyFont="1" applyFill="1" applyBorder="1"/>
    <xf numFmtId="0" fontId="21" fillId="4" borderId="2" xfId="0" applyFont="1" applyFill="1" applyBorder="1" applyAlignment="1">
      <alignment horizontal="right"/>
    </xf>
    <xf numFmtId="0" fontId="21" fillId="4" borderId="1" xfId="0" applyFont="1" applyFill="1" applyBorder="1" applyAlignment="1">
      <alignment horizontal="left" wrapText="1" indent="1"/>
    </xf>
    <xf numFmtId="167" fontId="26" fillId="4" borderId="1" xfId="5" applyNumberFormat="1" applyFont="1" applyFill="1" applyBorder="1" applyAlignment="1">
      <alignment horizontal="left"/>
    </xf>
    <xf numFmtId="167" fontId="24" fillId="4" borderId="1" xfId="5" applyNumberFormat="1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2" fontId="23" fillId="2" borderId="1" xfId="0" applyNumberFormat="1" applyFont="1" applyFill="1" applyBorder="1" applyAlignment="1">
      <alignment horizontal="right"/>
    </xf>
    <xf numFmtId="167" fontId="0" fillId="0" borderId="0" xfId="0" applyNumberFormat="1"/>
    <xf numFmtId="167" fontId="25" fillId="4" borderId="1" xfId="5" applyNumberFormat="1" applyFont="1" applyFill="1" applyBorder="1" applyAlignment="1">
      <alignment horizontal="left"/>
    </xf>
    <xf numFmtId="0" fontId="4" fillId="0" borderId="1" xfId="0" applyFont="1" applyBorder="1"/>
    <xf numFmtId="0" fontId="25" fillId="0" borderId="1" xfId="0" applyFont="1" applyBorder="1"/>
    <xf numFmtId="2" fontId="25" fillId="3" borderId="1" xfId="5" applyNumberFormat="1" applyFont="1" applyFill="1" applyBorder="1"/>
    <xf numFmtId="167" fontId="7" fillId="0" borderId="0" xfId="0" applyNumberFormat="1" applyFont="1"/>
    <xf numFmtId="167" fontId="4" fillId="0" borderId="0" xfId="0" applyNumberFormat="1" applyFont="1"/>
    <xf numFmtId="167" fontId="25" fillId="0" borderId="1" xfId="8" applyNumberFormat="1" applyFont="1" applyBorder="1" applyAlignment="1">
      <alignment horizontal="left"/>
    </xf>
    <xf numFmtId="167" fontId="25" fillId="0" borderId="1" xfId="8" applyNumberFormat="1" applyFont="1" applyBorder="1"/>
    <xf numFmtId="167" fontId="14" fillId="0" borderId="0" xfId="0" applyNumberFormat="1" applyFont="1"/>
    <xf numFmtId="0" fontId="4" fillId="0" borderId="0" xfId="0" applyFont="1" applyAlignment="1">
      <alignment horizontal="right"/>
    </xf>
    <xf numFmtId="0" fontId="6" fillId="2" borderId="2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7" fillId="2" borderId="5" xfId="0" applyFont="1" applyFill="1" applyBorder="1"/>
    <xf numFmtId="0" fontId="0" fillId="0" borderId="0" xfId="0" applyAlignment="1">
      <alignment horizontal="right"/>
    </xf>
    <xf numFmtId="0" fontId="6" fillId="2" borderId="4" xfId="0" applyFont="1" applyFill="1" applyBorder="1" applyAlignment="1">
      <alignment horizontal="center" wrapText="1"/>
    </xf>
    <xf numFmtId="0" fontId="9" fillId="0" borderId="6" xfId="0" applyFont="1" applyBorder="1" applyAlignment="1">
      <alignment horizontal="left" wrapText="1"/>
    </xf>
    <xf numFmtId="0" fontId="0" fillId="0" borderId="7" xfId="0" applyBorder="1"/>
  </cellXfs>
  <cellStyles count="57">
    <cellStyle name="20% no 1. izcēluma" xfId="28" builtinId="30" customBuiltin="1"/>
    <cellStyle name="20% no 2. izcēluma" xfId="32" builtinId="34" customBuiltin="1"/>
    <cellStyle name="20% no 3. izcēluma" xfId="36" builtinId="38" customBuiltin="1"/>
    <cellStyle name="20% no 4. izcēluma" xfId="40" builtinId="42" customBuiltin="1"/>
    <cellStyle name="20% no 5. izcēluma" xfId="44" builtinId="46" customBuiltin="1"/>
    <cellStyle name="20% no 6. izcēluma" xfId="48" builtinId="50" customBuiltin="1"/>
    <cellStyle name="40% no 1. izcēluma" xfId="29" builtinId="31" customBuiltin="1"/>
    <cellStyle name="40% no 2. izcēluma" xfId="33" builtinId="35" customBuiltin="1"/>
    <cellStyle name="40% no 3. izcēluma" xfId="37" builtinId="39" customBuiltin="1"/>
    <cellStyle name="40% no 4. izcēluma" xfId="41" builtinId="43" customBuiltin="1"/>
    <cellStyle name="40% no 5. izcēluma" xfId="45" builtinId="47" customBuiltin="1"/>
    <cellStyle name="40% no 6. izcēluma" xfId="49" builtinId="51" customBuiltin="1"/>
    <cellStyle name="60% no 1. izcēluma" xfId="30" builtinId="32" customBuiltin="1"/>
    <cellStyle name="60% no 2. izcēluma" xfId="34" builtinId="36" customBuiltin="1"/>
    <cellStyle name="60% no 3. izcēluma" xfId="38" builtinId="40" customBuiltin="1"/>
    <cellStyle name="60% no 4. izcēluma" xfId="42" builtinId="44" customBuiltin="1"/>
    <cellStyle name="60% no 5. izcēluma" xfId="46" builtinId="48" customBuiltin="1"/>
    <cellStyle name="60% no 6. izcēluma" xfId="50" builtinId="52" customBuiltin="1"/>
    <cellStyle name="Aprēķināšana" xfId="21" builtinId="22" customBuiltin="1"/>
    <cellStyle name="Brīdinājuma teksts" xfId="24" builtinId="11" customBuiltin="1"/>
    <cellStyle name="Ievade" xfId="19" builtinId="20" customBuiltin="1"/>
    <cellStyle name="Izcēlums (1. veids)" xfId="27" builtinId="29" customBuiltin="1"/>
    <cellStyle name="Izcēlums (2. veids)" xfId="31" builtinId="33" customBuiltin="1"/>
    <cellStyle name="Izcēlums (3. veids)" xfId="35" builtinId="37" customBuiltin="1"/>
    <cellStyle name="Izcēlums (4. veids)" xfId="39" builtinId="41" customBuiltin="1"/>
    <cellStyle name="Izcēlums (5. veids)" xfId="43" builtinId="45" customBuiltin="1"/>
    <cellStyle name="Izcēlums (6. veids)" xfId="47" builtinId="49" customBuiltin="1"/>
    <cellStyle name="Izvade" xfId="20" builtinId="21" customBuiltin="1"/>
    <cellStyle name="Komats" xfId="5" builtinId="3"/>
    <cellStyle name="Komats 2" xfId="8"/>
    <cellStyle name="Komats 2 2" xfId="55"/>
    <cellStyle name="Komats 3" xfId="54"/>
    <cellStyle name="Kopsumma" xfId="26" builtinId="25" customBuiltin="1"/>
    <cellStyle name="Labs" xfId="16" builtinId="26" customBuiltin="1"/>
    <cellStyle name="Neitrāls" xfId="18" builtinId="28" customBuiltin="1"/>
    <cellStyle name="Nosaukums" xfId="11" builtinId="15" customBuiltin="1"/>
    <cellStyle name="Parasts" xfId="0" builtinId="0"/>
    <cellStyle name="Parasts 2" xfId="1"/>
    <cellStyle name="Parasts 2 2" xfId="2"/>
    <cellStyle name="Parasts 2 2 2" xfId="9"/>
    <cellStyle name="Parasts 2 3" xfId="7"/>
    <cellStyle name="Parasts 3" xfId="3"/>
    <cellStyle name="Parasts 3 2" xfId="10"/>
    <cellStyle name="Parasts 3 2 2" xfId="56"/>
    <cellStyle name="Parasts 3 3" xfId="53"/>
    <cellStyle name="Parasts 4" xfId="6"/>
    <cellStyle name="Parasts 5" xfId="51"/>
    <cellStyle name="Paskaidrojošs teksts" xfId="25" builtinId="53" customBuiltin="1"/>
    <cellStyle name="Pārbaudes šūna" xfId="23" builtinId="23" customBuiltin="1"/>
    <cellStyle name="Piezīme 2" xfId="52"/>
    <cellStyle name="Procenti" xfId="4" builtinId="5"/>
    <cellStyle name="Saistīta šūna" xfId="22" builtinId="24" customBuiltin="1"/>
    <cellStyle name="Slikts" xfId="17" builtinId="27" customBuiltin="1"/>
    <cellStyle name="Virsraksts 1" xfId="12" builtinId="16" customBuiltin="1"/>
    <cellStyle name="Virsraksts 2" xfId="13" builtinId="17" customBuiltin="1"/>
    <cellStyle name="Virsraksts 3" xfId="14" builtinId="18" customBuiltin="1"/>
    <cellStyle name="Virsraksts 4" xfId="1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95250</xdr:colOff>
      <xdr:row>3</xdr:row>
      <xdr:rowOff>104776</xdr:rowOff>
    </xdr:from>
    <xdr:to>
      <xdr:col>22</xdr:col>
      <xdr:colOff>200025</xdr:colOff>
      <xdr:row>8</xdr:row>
      <xdr:rowOff>19051</xdr:rowOff>
    </xdr:to>
    <xdr:sp macro="" textlink="">
      <xdr:nvSpPr>
        <xdr:cNvPr id="2" name="TextBox 1"/>
        <xdr:cNvSpPr txBox="1"/>
      </xdr:nvSpPr>
      <xdr:spPr>
        <a:xfrm>
          <a:off x="15468600" y="104776"/>
          <a:ext cx="2543175" cy="1371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lv-LV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34"/>
  <sheetViews>
    <sheetView topLeftCell="B1" zoomScaleNormal="100" workbookViewId="0">
      <selection activeCell="P1" sqref="P1:R4"/>
    </sheetView>
  </sheetViews>
  <sheetFormatPr defaultRowHeight="12.75" x14ac:dyDescent="0.2"/>
  <cols>
    <col min="1" max="1" width="12.28515625" customWidth="1"/>
    <col min="2" max="2" width="44.7109375" customWidth="1"/>
    <col min="3" max="3" width="13.5703125" customWidth="1"/>
    <col min="4" max="4" width="11.28515625" customWidth="1"/>
    <col min="5" max="5" width="10.7109375" customWidth="1"/>
    <col min="6" max="6" width="11.140625" customWidth="1"/>
    <col min="7" max="7" width="9.85546875" customWidth="1"/>
    <col min="8" max="8" width="11" customWidth="1"/>
    <col min="9" max="9" width="10.5703125" customWidth="1"/>
    <col min="10" max="10" width="9.7109375" customWidth="1"/>
    <col min="11" max="11" width="11" customWidth="1"/>
    <col min="12" max="13" width="9.140625" customWidth="1"/>
    <col min="14" max="14" width="11.28515625" customWidth="1"/>
    <col min="15" max="15" width="10.7109375" customWidth="1"/>
    <col min="16" max="16" width="12.140625" customWidth="1"/>
    <col min="17" max="17" width="10.85546875" customWidth="1"/>
    <col min="18" max="18" width="11.42578125" customWidth="1"/>
    <col min="19" max="19" width="9.140625" customWidth="1"/>
  </cols>
  <sheetData>
    <row r="1" spans="1:20" x14ac:dyDescent="0.2">
      <c r="P1" s="80" t="s">
        <v>77</v>
      </c>
      <c r="Q1" s="80"/>
      <c r="R1" s="80"/>
    </row>
    <row r="2" spans="1:20" x14ac:dyDescent="0.2">
      <c r="P2" s="80" t="s">
        <v>78</v>
      </c>
      <c r="Q2" s="84"/>
      <c r="R2" s="84"/>
    </row>
    <row r="3" spans="1:20" x14ac:dyDescent="0.2">
      <c r="P3" s="80" t="s">
        <v>79</v>
      </c>
      <c r="Q3" s="84"/>
      <c r="R3" s="84"/>
    </row>
    <row r="4" spans="1:20" ht="15" x14ac:dyDescent="0.2">
      <c r="B4" s="6" t="s">
        <v>64</v>
      </c>
      <c r="P4" s="80" t="s">
        <v>76</v>
      </c>
      <c r="Q4" s="84"/>
      <c r="R4" s="84"/>
    </row>
    <row r="5" spans="1:20" x14ac:dyDescent="0.2">
      <c r="A5" s="1"/>
      <c r="B5" s="3" t="s">
        <v>65</v>
      </c>
      <c r="C5" s="1"/>
    </row>
    <row r="6" spans="1:20" s="28" customFormat="1" ht="12" x14ac:dyDescent="0.2">
      <c r="A6" s="26"/>
      <c r="B6" s="27"/>
      <c r="C6" s="29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20" ht="52.5" customHeight="1" x14ac:dyDescent="0.2">
      <c r="A7" s="30" t="s">
        <v>1</v>
      </c>
      <c r="B7" s="31" t="s">
        <v>0</v>
      </c>
      <c r="C7" s="23" t="s">
        <v>51</v>
      </c>
      <c r="D7" s="23" t="s">
        <v>10</v>
      </c>
      <c r="E7" s="24" t="s">
        <v>11</v>
      </c>
      <c r="F7" s="24" t="s">
        <v>12</v>
      </c>
      <c r="G7" s="24" t="s">
        <v>13</v>
      </c>
      <c r="H7" s="24" t="s">
        <v>57</v>
      </c>
      <c r="I7" s="24" t="s">
        <v>14</v>
      </c>
      <c r="J7" s="24" t="s">
        <v>59</v>
      </c>
      <c r="K7" s="24" t="s">
        <v>15</v>
      </c>
      <c r="L7" s="24" t="s">
        <v>16</v>
      </c>
      <c r="M7" s="24" t="s">
        <v>17</v>
      </c>
      <c r="N7" s="15" t="s">
        <v>60</v>
      </c>
      <c r="O7" s="24" t="s">
        <v>71</v>
      </c>
      <c r="P7" s="24" t="s">
        <v>18</v>
      </c>
      <c r="Q7" s="24" t="s">
        <v>53</v>
      </c>
      <c r="R7" s="15" t="s">
        <v>19</v>
      </c>
    </row>
    <row r="8" spans="1:20" ht="22.5" customHeight="1" x14ac:dyDescent="0.2">
      <c r="A8" s="19"/>
      <c r="B8" s="4" t="s">
        <v>66</v>
      </c>
      <c r="C8" s="67">
        <f>968+20</f>
        <v>988</v>
      </c>
      <c r="D8" s="67">
        <v>273</v>
      </c>
      <c r="E8" s="67">
        <v>54</v>
      </c>
      <c r="F8" s="67">
        <v>99</v>
      </c>
      <c r="G8" s="67">
        <v>102</v>
      </c>
      <c r="H8" s="67">
        <v>287</v>
      </c>
      <c r="I8" s="67">
        <v>77</v>
      </c>
      <c r="J8" s="67">
        <v>221</v>
      </c>
      <c r="K8" s="67">
        <v>88</v>
      </c>
      <c r="L8" s="67">
        <v>50</v>
      </c>
      <c r="M8" s="67">
        <v>71</v>
      </c>
      <c r="N8" s="67">
        <v>158</v>
      </c>
      <c r="O8" s="67">
        <v>120</v>
      </c>
      <c r="P8" s="67">
        <v>109</v>
      </c>
      <c r="Q8" s="67">
        <v>67</v>
      </c>
      <c r="R8" s="22">
        <f>C8+D8+E8+F8+G8+I8+K8+L8+M8+O8+P8+Q8+H8+J8+N8</f>
        <v>2764</v>
      </c>
    </row>
    <row r="9" spans="1:20" ht="13.5" x14ac:dyDescent="0.25">
      <c r="A9" s="34"/>
      <c r="B9" s="35"/>
      <c r="C9" s="35"/>
      <c r="D9" s="35"/>
      <c r="R9" s="12"/>
    </row>
    <row r="10" spans="1:20" ht="39.75" customHeight="1" x14ac:dyDescent="0.25">
      <c r="A10" s="7">
        <v>1100</v>
      </c>
      <c r="B10" s="2" t="s">
        <v>42</v>
      </c>
      <c r="C10" s="53">
        <f>204891.98-2404.3</f>
        <v>202487.68000000002</v>
      </c>
      <c r="D10" s="53">
        <f>126479.65-2130.1</f>
        <v>124349.54999999999</v>
      </c>
      <c r="E10" s="53">
        <f>42940.01-585.45+(4.5*500*12)</f>
        <v>69354.559999999998</v>
      </c>
      <c r="F10" s="54">
        <f>19580.35+(4.5*500*12)+(690*12)</f>
        <v>54860.35</v>
      </c>
      <c r="G10" s="53">
        <f>24079.08-463.92+(3.3*500*12)</f>
        <v>43415.16</v>
      </c>
      <c r="H10" s="53">
        <f>254349.87-2241.97</f>
        <v>252107.9</v>
      </c>
      <c r="I10" s="53">
        <f>20724.26-101.45+(500*2*12)+(670*12)</f>
        <v>40662.81</v>
      </c>
      <c r="J10" s="54">
        <f>76897.13-781.5</f>
        <v>76115.63</v>
      </c>
      <c r="K10" s="53">
        <f>32316.94-270.2+ (5*500*12)+(0.5*695*12)+(0.1*670*12)</f>
        <v>67020.739999999991</v>
      </c>
      <c r="L10" s="53">
        <f>31805.64-1070.25+ (2.5*500*12)</f>
        <v>45735.39</v>
      </c>
      <c r="M10" s="53">
        <f>15040.96+(3*500*12)</f>
        <v>33040.959999999999</v>
      </c>
      <c r="N10" s="53">
        <f>114882-1371.65</f>
        <v>113510.35</v>
      </c>
      <c r="O10" s="53">
        <f>37287.7-360+(5*500*12)+(695*0.5*12)+(0.1*670*12)</f>
        <v>71901.7</v>
      </c>
      <c r="P10" s="53">
        <f>33884.63-591.45+(500*5*12)</f>
        <v>63293.18</v>
      </c>
      <c r="Q10" s="53">
        <f>62828.59-1341.06 +(1*500*12)</f>
        <v>67487.53</v>
      </c>
      <c r="R10" s="53">
        <f>C10+D10+E10+F10+G10+I10+K10+L10+M10+O10+P10+Q10+H10+J10+N10</f>
        <v>1325343.4899999998</v>
      </c>
      <c r="S10" s="68"/>
    </row>
    <row r="11" spans="1:20" ht="69.75" customHeight="1" x14ac:dyDescent="0.25">
      <c r="A11" s="7">
        <v>1200</v>
      </c>
      <c r="B11" s="2" t="s">
        <v>41</v>
      </c>
      <c r="C11" s="53">
        <f>59145.08-567.17</f>
        <v>58577.91</v>
      </c>
      <c r="D11" s="53">
        <f>32001.43-502.49</f>
        <v>31498.94</v>
      </c>
      <c r="E11" s="53">
        <f>11847.39-138.11+6369.3</f>
        <v>18078.579999999998</v>
      </c>
      <c r="F11" s="54">
        <f>6059.17+8322.55</f>
        <v>14381.72</v>
      </c>
      <c r="G11" s="53">
        <f>6400.84-109.44+4670.82</f>
        <v>10962.220000000001</v>
      </c>
      <c r="H11" s="53">
        <v>57352.55</v>
      </c>
      <c r="I11" s="53">
        <f>5965.42-23.83+3510.19+4727.44</f>
        <v>14179.220000000001</v>
      </c>
      <c r="J11" s="54">
        <v>21199.59</v>
      </c>
      <c r="K11" s="53">
        <f>9161.98-63.74+8250.37</f>
        <v>17348.61</v>
      </c>
      <c r="L11" s="53">
        <f>8227.32-252.47+3538.5</f>
        <v>11513.349999999999</v>
      </c>
      <c r="M11" s="53">
        <f>4148.68-20.42+(3*500*12*0.2359)</f>
        <v>8374.4599999999991</v>
      </c>
      <c r="N11" s="53">
        <f>33428.1-323.57</f>
        <v>33104.53</v>
      </c>
      <c r="O11" s="53">
        <f>10371.78-84+(5*500*12*0.2359)+(0.5*695*12*0.2359)+(0.1*670*12*0.2359)</f>
        <v>18538.1466</v>
      </c>
      <c r="P11" s="53">
        <f>8866.72-139.52+(500*5*12*0.2359)</f>
        <v>15804.199999999999</v>
      </c>
      <c r="Q11" s="53">
        <f>15993.54-316.36+1415</f>
        <v>17092.18</v>
      </c>
      <c r="R11" s="53">
        <f t="shared" ref="R11:R31" si="0">C11+D11+E11+F11+G11+I11+K11+L11+M11+O11+P11+Q11+H11+J11+N11</f>
        <v>348006.20660000003</v>
      </c>
      <c r="S11" s="70"/>
      <c r="T11" s="76"/>
    </row>
    <row r="12" spans="1:20" ht="45.75" customHeight="1" x14ac:dyDescent="0.25">
      <c r="A12" s="7">
        <v>2100</v>
      </c>
      <c r="B12" s="2" t="s">
        <v>43</v>
      </c>
      <c r="C12" s="53"/>
      <c r="D12" s="53">
        <v>81.400000000000006</v>
      </c>
      <c r="E12" s="53"/>
      <c r="F12" s="54">
        <v>50.4</v>
      </c>
      <c r="G12" s="53"/>
      <c r="H12" s="53">
        <v>375.98</v>
      </c>
      <c r="I12" s="53">
        <v>241</v>
      </c>
      <c r="J12" s="53">
        <v>143.37</v>
      </c>
      <c r="K12" s="53">
        <v>12.82</v>
      </c>
      <c r="L12" s="53"/>
      <c r="M12" s="53"/>
      <c r="N12" s="53">
        <v>140.66999999999999</v>
      </c>
      <c r="O12" s="53"/>
      <c r="P12" s="53"/>
      <c r="Q12" s="53"/>
      <c r="R12" s="53">
        <f t="shared" si="0"/>
        <v>1045.6400000000001</v>
      </c>
      <c r="T12" s="70"/>
    </row>
    <row r="13" spans="1:20" ht="21.75" customHeight="1" x14ac:dyDescent="0.25">
      <c r="A13" s="7">
        <v>2200</v>
      </c>
      <c r="B13" s="2" t="s">
        <v>44</v>
      </c>
      <c r="C13" s="53">
        <f>SUM(C14:C19)</f>
        <v>155226.07999999999</v>
      </c>
      <c r="D13" s="53">
        <f>SUM(D14:D19)</f>
        <v>113715.77</v>
      </c>
      <c r="E13" s="53">
        <f t="shared" ref="E13:Q13" si="1">SUM(E14:E19)</f>
        <v>41262.249999999985</v>
      </c>
      <c r="F13" s="53">
        <f t="shared" si="1"/>
        <v>56056.79</v>
      </c>
      <c r="G13" s="53">
        <f t="shared" si="1"/>
        <v>22520.370000000003</v>
      </c>
      <c r="H13" s="53">
        <f t="shared" ref="H13" si="2">SUM(H14:H19)</f>
        <v>119700.95</v>
      </c>
      <c r="I13" s="53">
        <f t="shared" si="1"/>
        <v>30865.920000000002</v>
      </c>
      <c r="J13" s="53">
        <f t="shared" si="1"/>
        <v>78924.14</v>
      </c>
      <c r="K13" s="53">
        <f t="shared" si="1"/>
        <v>40141.67</v>
      </c>
      <c r="L13" s="53">
        <f t="shared" si="1"/>
        <v>12217.23</v>
      </c>
      <c r="M13" s="53">
        <f t="shared" si="1"/>
        <v>23299.26</v>
      </c>
      <c r="N13" s="53">
        <f t="shared" si="1"/>
        <v>49941.43</v>
      </c>
      <c r="O13" s="53">
        <f t="shared" si="1"/>
        <v>72467.41</v>
      </c>
      <c r="P13" s="53">
        <f t="shared" si="1"/>
        <v>17486.28</v>
      </c>
      <c r="Q13" s="53">
        <f t="shared" si="1"/>
        <v>16553.990000000002</v>
      </c>
      <c r="R13" s="53">
        <f t="shared" si="0"/>
        <v>850379.53999999992</v>
      </c>
    </row>
    <row r="14" spans="1:20" ht="18.75" customHeight="1" x14ac:dyDescent="0.25">
      <c r="A14" s="8">
        <v>2210</v>
      </c>
      <c r="B14" s="4" t="s">
        <v>2</v>
      </c>
      <c r="C14" s="55">
        <v>3723.61</v>
      </c>
      <c r="D14" s="55">
        <v>2720.94</v>
      </c>
      <c r="E14" s="55">
        <v>1253.27</v>
      </c>
      <c r="F14" s="55">
        <v>1161.22</v>
      </c>
      <c r="G14" s="55">
        <v>305.62</v>
      </c>
      <c r="H14" s="55">
        <v>8795</v>
      </c>
      <c r="I14" s="55">
        <v>1201.44</v>
      </c>
      <c r="J14" s="55">
        <v>1504.62</v>
      </c>
      <c r="K14" s="55">
        <v>1003.89</v>
      </c>
      <c r="L14" s="55">
        <v>521.75</v>
      </c>
      <c r="M14" s="55">
        <v>455.14</v>
      </c>
      <c r="N14" s="55">
        <v>632.27</v>
      </c>
      <c r="O14" s="55">
        <v>731.87</v>
      </c>
      <c r="P14" s="55">
        <v>734.87</v>
      </c>
      <c r="Q14" s="55">
        <v>1657.34</v>
      </c>
      <c r="R14" s="53">
        <f t="shared" si="0"/>
        <v>26402.85</v>
      </c>
      <c r="S14" s="13"/>
      <c r="T14" s="13"/>
    </row>
    <row r="15" spans="1:20" ht="21" customHeight="1" x14ac:dyDescent="0.25">
      <c r="A15" s="8">
        <v>2220</v>
      </c>
      <c r="B15" s="4" t="s">
        <v>3</v>
      </c>
      <c r="C15" s="55">
        <v>112961.06</v>
      </c>
      <c r="D15" s="55">
        <v>93140.76</v>
      </c>
      <c r="E15" s="55">
        <v>37285.46</v>
      </c>
      <c r="F15" s="55">
        <v>50375.16</v>
      </c>
      <c r="G15" s="55">
        <v>12953.11</v>
      </c>
      <c r="H15" s="55">
        <v>71026</v>
      </c>
      <c r="I15" s="55">
        <v>18328.810000000001</v>
      </c>
      <c r="J15" s="55">
        <v>54386.11</v>
      </c>
      <c r="K15" s="55">
        <v>35163.96</v>
      </c>
      <c r="L15" s="55">
        <v>7751.84</v>
      </c>
      <c r="M15" s="55">
        <v>15662.28</v>
      </c>
      <c r="N15" s="55">
        <v>14667.35</v>
      </c>
      <c r="O15" s="55">
        <v>63136.87</v>
      </c>
      <c r="P15" s="55">
        <v>13670.07</v>
      </c>
      <c r="Q15" s="55">
        <v>12149.54</v>
      </c>
      <c r="R15" s="53">
        <f t="shared" si="0"/>
        <v>612658.38</v>
      </c>
      <c r="S15" s="13"/>
      <c r="T15" s="13"/>
    </row>
    <row r="16" spans="1:20" ht="27" customHeight="1" x14ac:dyDescent="0.25">
      <c r="A16" s="8">
        <v>2230</v>
      </c>
      <c r="B16" s="4" t="s">
        <v>4</v>
      </c>
      <c r="C16" s="55">
        <v>12945.43</v>
      </c>
      <c r="D16" s="55">
        <v>4547.46</v>
      </c>
      <c r="E16" s="55">
        <v>1772.45</v>
      </c>
      <c r="F16" s="55">
        <v>1693.99</v>
      </c>
      <c r="G16" s="55">
        <v>914.67</v>
      </c>
      <c r="H16" s="55">
        <v>9759.9500000000007</v>
      </c>
      <c r="I16" s="55">
        <v>1109.4000000000001</v>
      </c>
      <c r="J16" s="55">
        <v>4743.84</v>
      </c>
      <c r="K16" s="55">
        <v>377.16</v>
      </c>
      <c r="L16" s="55">
        <v>2191.42</v>
      </c>
      <c r="M16" s="55">
        <v>163</v>
      </c>
      <c r="N16" s="55">
        <v>7029.85</v>
      </c>
      <c r="O16" s="55">
        <v>1199.71</v>
      </c>
      <c r="P16" s="55">
        <v>1205.04</v>
      </c>
      <c r="Q16" s="55">
        <v>517.04</v>
      </c>
      <c r="R16" s="53">
        <f t="shared" si="0"/>
        <v>50170.409999999996</v>
      </c>
      <c r="S16" s="13"/>
      <c r="T16" s="13"/>
    </row>
    <row r="17" spans="1:20" ht="27" customHeight="1" x14ac:dyDescent="0.25">
      <c r="A17" s="8">
        <v>2240</v>
      </c>
      <c r="B17" s="4" t="s">
        <v>45</v>
      </c>
      <c r="C17" s="55">
        <v>20930.84</v>
      </c>
      <c r="D17" s="55">
        <v>11453.5</v>
      </c>
      <c r="E17" s="55">
        <v>465.02</v>
      </c>
      <c r="F17" s="55">
        <v>2273.1</v>
      </c>
      <c r="G17" s="55">
        <v>7603.61</v>
      </c>
      <c r="H17" s="55">
        <v>27919.98</v>
      </c>
      <c r="I17" s="55">
        <v>8137.27</v>
      </c>
      <c r="J17" s="55">
        <v>10779.77</v>
      </c>
      <c r="K17" s="55">
        <v>2892.38</v>
      </c>
      <c r="L17" s="55">
        <v>940.52</v>
      </c>
      <c r="M17" s="55">
        <v>6670.36</v>
      </c>
      <c r="N17" s="55">
        <v>25232.17</v>
      </c>
      <c r="O17" s="55">
        <v>6420.45</v>
      </c>
      <c r="P17" s="55">
        <v>1415.22</v>
      </c>
      <c r="Q17" s="55">
        <v>996.61</v>
      </c>
      <c r="R17" s="53">
        <f t="shared" si="0"/>
        <v>134130.79999999999</v>
      </c>
      <c r="S17" s="13"/>
      <c r="T17" s="13"/>
    </row>
    <row r="18" spans="1:20" ht="17.25" customHeight="1" x14ac:dyDescent="0.25">
      <c r="A18" s="8">
        <v>2250</v>
      </c>
      <c r="B18" s="4" t="s">
        <v>5</v>
      </c>
      <c r="C18" s="55">
        <v>1465.02</v>
      </c>
      <c r="D18" s="55">
        <v>1272.92</v>
      </c>
      <c r="E18" s="55">
        <v>422.95</v>
      </c>
      <c r="F18" s="55">
        <v>520</v>
      </c>
      <c r="G18" s="55">
        <v>409.98</v>
      </c>
      <c r="H18" s="55">
        <v>2200.02</v>
      </c>
      <c r="I18" s="55">
        <v>1275</v>
      </c>
      <c r="J18" s="55">
        <v>6992.32</v>
      </c>
      <c r="K18" s="55">
        <v>555.61</v>
      </c>
      <c r="L18" s="55">
        <v>457.48</v>
      </c>
      <c r="M18" s="55">
        <v>348.48</v>
      </c>
      <c r="N18" s="55">
        <v>1385.48</v>
      </c>
      <c r="O18" s="55">
        <v>348.48</v>
      </c>
      <c r="P18" s="55">
        <v>388.48</v>
      </c>
      <c r="Q18" s="55">
        <v>663.08</v>
      </c>
      <c r="R18" s="53">
        <f t="shared" si="0"/>
        <v>18705.3</v>
      </c>
      <c r="S18" s="13"/>
      <c r="T18" s="13"/>
    </row>
    <row r="19" spans="1:20" ht="27" customHeight="1" x14ac:dyDescent="0.25">
      <c r="A19" s="8">
        <v>2260</v>
      </c>
      <c r="B19" s="4" t="s">
        <v>46</v>
      </c>
      <c r="C19" s="55">
        <v>3200.12</v>
      </c>
      <c r="D19" s="55">
        <v>580.19000000000005</v>
      </c>
      <c r="E19" s="55">
        <v>63.1</v>
      </c>
      <c r="F19" s="55">
        <v>33.32</v>
      </c>
      <c r="G19" s="55">
        <v>333.38</v>
      </c>
      <c r="H19" s="55">
        <v>0</v>
      </c>
      <c r="I19" s="55">
        <v>814</v>
      </c>
      <c r="J19" s="55">
        <v>517.48</v>
      </c>
      <c r="K19" s="55">
        <v>148.66999999999999</v>
      </c>
      <c r="L19" s="55">
        <v>354.22</v>
      </c>
      <c r="M19" s="55"/>
      <c r="N19" s="55">
        <v>994.31</v>
      </c>
      <c r="O19" s="55">
        <v>630.03</v>
      </c>
      <c r="P19" s="55">
        <v>72.599999999999994</v>
      </c>
      <c r="Q19" s="55">
        <v>570.38</v>
      </c>
      <c r="R19" s="53">
        <f t="shared" si="0"/>
        <v>8311.7999999999993</v>
      </c>
      <c r="S19" s="13"/>
      <c r="T19" s="13"/>
    </row>
    <row r="20" spans="1:20" ht="27" customHeight="1" x14ac:dyDescent="0.25">
      <c r="A20" s="7">
        <v>2300</v>
      </c>
      <c r="B20" s="2" t="s">
        <v>47</v>
      </c>
      <c r="C20" s="53">
        <f>SUM(C21:C28)</f>
        <v>143452.47</v>
      </c>
      <c r="D20" s="53">
        <f>SUM(D21:D28)</f>
        <v>53159.62000000001</v>
      </c>
      <c r="E20" s="53">
        <f t="shared" ref="E20:Q20" si="3">SUM(E21:E28)</f>
        <v>11631.52</v>
      </c>
      <c r="F20" s="53">
        <f>SUM(F21:F28)</f>
        <v>16528.870000000003</v>
      </c>
      <c r="G20" s="53">
        <f t="shared" si="3"/>
        <v>12590.96</v>
      </c>
      <c r="H20" s="53">
        <f t="shared" si="3"/>
        <v>48350.43</v>
      </c>
      <c r="I20" s="53">
        <f t="shared" si="3"/>
        <v>12518.349999999999</v>
      </c>
      <c r="J20" s="53">
        <f t="shared" si="3"/>
        <v>40928.469999999994</v>
      </c>
      <c r="K20" s="53">
        <f t="shared" si="3"/>
        <v>13276.419999999998</v>
      </c>
      <c r="L20" s="53">
        <f t="shared" si="3"/>
        <v>17108.96</v>
      </c>
      <c r="M20" s="53">
        <f t="shared" si="3"/>
        <v>11577.59</v>
      </c>
      <c r="N20" s="53">
        <f t="shared" si="3"/>
        <v>72284.69</v>
      </c>
      <c r="O20" s="53">
        <f t="shared" si="3"/>
        <v>27504.069999999996</v>
      </c>
      <c r="P20" s="53">
        <f t="shared" si="3"/>
        <v>46843.990000000005</v>
      </c>
      <c r="Q20" s="53">
        <f t="shared" si="3"/>
        <v>34575.589999999997</v>
      </c>
      <c r="R20" s="53">
        <f t="shared" si="0"/>
        <v>562332</v>
      </c>
      <c r="S20" s="13"/>
      <c r="T20" s="13"/>
    </row>
    <row r="21" spans="1:20" ht="15.75" customHeight="1" x14ac:dyDescent="0.25">
      <c r="A21" s="10">
        <v>2310</v>
      </c>
      <c r="B21" s="4" t="s">
        <v>48</v>
      </c>
      <c r="C21" s="55">
        <v>46704.01</v>
      </c>
      <c r="D21" s="55">
        <v>9178.56</v>
      </c>
      <c r="E21" s="55">
        <v>3249.34</v>
      </c>
      <c r="F21" s="55">
        <v>3788.34</v>
      </c>
      <c r="G21" s="55">
        <v>3537.9</v>
      </c>
      <c r="H21" s="55">
        <v>11072.2</v>
      </c>
      <c r="I21" s="55">
        <v>2145.3000000000002</v>
      </c>
      <c r="J21" s="55">
        <v>4620.62</v>
      </c>
      <c r="K21" s="55">
        <v>4725.25</v>
      </c>
      <c r="L21" s="55">
        <v>3295.05</v>
      </c>
      <c r="M21" s="55">
        <v>2044.08</v>
      </c>
      <c r="N21" s="55">
        <v>5326.04</v>
      </c>
      <c r="O21" s="55">
        <v>10108.65</v>
      </c>
      <c r="P21" s="55">
        <v>1956.4</v>
      </c>
      <c r="Q21" s="55">
        <v>2643.44</v>
      </c>
      <c r="R21" s="53">
        <f t="shared" si="0"/>
        <v>114395.17999999998</v>
      </c>
      <c r="S21" s="13"/>
      <c r="T21" s="13"/>
    </row>
    <row r="22" spans="1:20" ht="27.75" customHeight="1" x14ac:dyDescent="0.25">
      <c r="A22" s="10">
        <v>2320</v>
      </c>
      <c r="B22" s="4" t="s">
        <v>6</v>
      </c>
      <c r="C22" s="55">
        <v>0</v>
      </c>
      <c r="D22" s="55">
        <v>0</v>
      </c>
      <c r="E22" s="55">
        <v>0</v>
      </c>
      <c r="F22" s="55">
        <v>0</v>
      </c>
      <c r="G22" s="77">
        <v>1348.4</v>
      </c>
      <c r="H22" s="55">
        <v>0</v>
      </c>
      <c r="I22" s="55"/>
      <c r="J22" s="77">
        <v>14495.09</v>
      </c>
      <c r="K22" s="55">
        <v>0</v>
      </c>
      <c r="L22" s="55">
        <v>7165.25</v>
      </c>
      <c r="M22" s="55"/>
      <c r="N22" s="55">
        <v>43105.66</v>
      </c>
      <c r="O22" s="55">
        <v>0</v>
      </c>
      <c r="P22" s="77">
        <v>32514.67</v>
      </c>
      <c r="Q22" s="55">
        <v>22384.89</v>
      </c>
      <c r="R22" s="53">
        <f t="shared" si="0"/>
        <v>121013.96</v>
      </c>
      <c r="S22" s="13"/>
      <c r="T22" s="13"/>
    </row>
    <row r="23" spans="1:20" ht="27" customHeight="1" x14ac:dyDescent="0.25">
      <c r="A23" s="10">
        <v>2340</v>
      </c>
      <c r="B23" s="4" t="s">
        <v>49</v>
      </c>
      <c r="C23" s="55">
        <v>58.05</v>
      </c>
      <c r="D23" s="55"/>
      <c r="E23" s="55"/>
      <c r="F23" s="55">
        <v>11.03</v>
      </c>
      <c r="G23" s="55">
        <v>7.76</v>
      </c>
      <c r="H23" s="55">
        <v>136.91</v>
      </c>
      <c r="I23" s="55"/>
      <c r="J23" s="55"/>
      <c r="K23" s="55"/>
      <c r="L23" s="55"/>
      <c r="M23" s="55"/>
      <c r="N23" s="55">
        <v>54.48</v>
      </c>
      <c r="O23" s="55">
        <v>73.67</v>
      </c>
      <c r="P23" s="55"/>
      <c r="Q23" s="55">
        <v>19.98</v>
      </c>
      <c r="R23" s="53">
        <f t="shared" si="0"/>
        <v>361.88</v>
      </c>
      <c r="S23" s="13"/>
      <c r="T23" s="13"/>
    </row>
    <row r="24" spans="1:20" ht="20.25" customHeight="1" x14ac:dyDescent="0.25">
      <c r="A24" s="10">
        <v>2350</v>
      </c>
      <c r="B24" s="4" t="s">
        <v>7</v>
      </c>
      <c r="C24" s="55">
        <v>22974.6</v>
      </c>
      <c r="D24" s="55">
        <v>9406.5300000000007</v>
      </c>
      <c r="E24" s="55">
        <v>2313.4699999999998</v>
      </c>
      <c r="F24" s="55">
        <v>4382.6000000000004</v>
      </c>
      <c r="G24" s="55">
        <v>2255.61</v>
      </c>
      <c r="H24" s="55">
        <v>12037.14</v>
      </c>
      <c r="I24" s="55">
        <v>3264.99</v>
      </c>
      <c r="J24" s="55">
        <v>4458.5</v>
      </c>
      <c r="K24" s="55">
        <v>2559.23</v>
      </c>
      <c r="L24" s="55">
        <v>2558.0100000000002</v>
      </c>
      <c r="M24" s="55">
        <v>3653.83</v>
      </c>
      <c r="N24" s="55">
        <v>5603.64</v>
      </c>
      <c r="O24" s="55">
        <v>7273.79</v>
      </c>
      <c r="P24" s="55">
        <v>4119.1099999999997</v>
      </c>
      <c r="Q24" s="55">
        <v>3579.39</v>
      </c>
      <c r="R24" s="53">
        <f t="shared" si="0"/>
        <v>90440.44</v>
      </c>
      <c r="S24" s="13"/>
      <c r="T24" s="13"/>
    </row>
    <row r="25" spans="1:20" ht="40.5" customHeight="1" x14ac:dyDescent="0.25">
      <c r="A25" s="10">
        <v>2360</v>
      </c>
      <c r="B25" s="4" t="s">
        <v>50</v>
      </c>
      <c r="C25" s="55">
        <v>3899.96</v>
      </c>
      <c r="D25" s="55">
        <v>133.19999999999999</v>
      </c>
      <c r="E25" s="55"/>
      <c r="F25" s="55"/>
      <c r="G25" s="55">
        <v>50.2</v>
      </c>
      <c r="H25" s="55">
        <f>145.26+89.8+400</f>
        <v>635.05999999999995</v>
      </c>
      <c r="I25" s="55"/>
      <c r="J25" s="55"/>
      <c r="K25" s="55">
        <v>34.39</v>
      </c>
      <c r="L25" s="55">
        <v>92.57</v>
      </c>
      <c r="M25" s="55"/>
      <c r="N25" s="55"/>
      <c r="O25" s="55">
        <v>143.51</v>
      </c>
      <c r="P25" s="55">
        <f>71.64+128.86</f>
        <v>200.5</v>
      </c>
      <c r="Q25" s="55">
        <v>0</v>
      </c>
      <c r="R25" s="53">
        <f t="shared" si="0"/>
        <v>5189.3899999999994</v>
      </c>
      <c r="S25" s="13"/>
      <c r="T25" s="13"/>
    </row>
    <row r="26" spans="1:20" ht="38.25" customHeight="1" x14ac:dyDescent="0.25">
      <c r="A26" s="63">
        <v>2363</v>
      </c>
      <c r="B26" s="64" t="s">
        <v>52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  <c r="H26" s="65">
        <v>0</v>
      </c>
      <c r="I26" s="65">
        <v>0</v>
      </c>
      <c r="J26" s="65">
        <v>0</v>
      </c>
      <c r="K26" s="65">
        <v>0</v>
      </c>
      <c r="L26" s="65">
        <v>0</v>
      </c>
      <c r="M26" s="65">
        <v>0</v>
      </c>
      <c r="N26" s="65">
        <v>0</v>
      </c>
      <c r="O26" s="65">
        <v>0</v>
      </c>
      <c r="P26" s="65">
        <v>0</v>
      </c>
      <c r="Q26" s="65">
        <v>0</v>
      </c>
      <c r="R26" s="66">
        <f t="shared" si="0"/>
        <v>0</v>
      </c>
      <c r="S26" s="13"/>
      <c r="T26" s="43"/>
    </row>
    <row r="27" spans="1:20" ht="38.25" customHeight="1" x14ac:dyDescent="0.25">
      <c r="A27" s="63">
        <v>2363</v>
      </c>
      <c r="B27" s="64" t="s">
        <v>54</v>
      </c>
      <c r="C27" s="71">
        <v>64766.25</v>
      </c>
      <c r="D27" s="71">
        <v>31096.170000000002</v>
      </c>
      <c r="E27" s="71">
        <v>5388.1900000000005</v>
      </c>
      <c r="F27" s="71">
        <v>7099.2000000000007</v>
      </c>
      <c r="G27" s="71">
        <v>5391.09</v>
      </c>
      <c r="H27" s="65">
        <v>21504.66</v>
      </c>
      <c r="I27" s="71">
        <v>5203.08</v>
      </c>
      <c r="J27" s="71">
        <v>16480.8</v>
      </c>
      <c r="K27" s="71">
        <v>5957.5499999999993</v>
      </c>
      <c r="L27" s="71">
        <v>3710.2299999999996</v>
      </c>
      <c r="M27" s="71">
        <v>5484.57</v>
      </c>
      <c r="N27" s="65">
        <v>16982.28</v>
      </c>
      <c r="O27" s="71">
        <v>9864.3599999999988</v>
      </c>
      <c r="P27" s="71">
        <v>7507.3</v>
      </c>
      <c r="Q27" s="71">
        <v>4852.6900000000005</v>
      </c>
      <c r="R27" s="66">
        <f t="shared" si="0"/>
        <v>211288.41999999995</v>
      </c>
      <c r="S27" s="13"/>
      <c r="T27" s="13"/>
    </row>
    <row r="28" spans="1:20" ht="20.25" customHeight="1" x14ac:dyDescent="0.25">
      <c r="A28" s="10">
        <v>2370</v>
      </c>
      <c r="B28" s="4" t="s">
        <v>30</v>
      </c>
      <c r="C28" s="55">
        <f>12070.6-7021</f>
        <v>5049.6000000000004</v>
      </c>
      <c r="D28" s="55">
        <f>5223.16-1878</f>
        <v>3345.16</v>
      </c>
      <c r="E28" s="56">
        <f>1152.52-472</f>
        <v>680.52</v>
      </c>
      <c r="F28" s="56">
        <f>1911.7-664</f>
        <v>1247.7</v>
      </c>
      <c r="G28" s="56">
        <v>0</v>
      </c>
      <c r="H28" s="56">
        <v>2964.46</v>
      </c>
      <c r="I28" s="56">
        <f>2454.98-550</f>
        <v>1904.98</v>
      </c>
      <c r="J28" s="55">
        <f>2330.46-1457</f>
        <v>873.46</v>
      </c>
      <c r="K28" s="56">
        <v>0</v>
      </c>
      <c r="L28" s="56">
        <f>637.85-350</f>
        <v>287.85000000000002</v>
      </c>
      <c r="M28" s="56">
        <f>867.11-472</f>
        <v>395.11</v>
      </c>
      <c r="N28" s="56">
        <f>2433.59-1221</f>
        <v>1212.5900000000001</v>
      </c>
      <c r="O28" s="56">
        <f>1133.09-1093</f>
        <v>40.089999999999918</v>
      </c>
      <c r="P28" s="56">
        <f>1203.01-657</f>
        <v>546.01</v>
      </c>
      <c r="Q28" s="56">
        <f>1588.2-493</f>
        <v>1095.2</v>
      </c>
      <c r="R28" s="53">
        <f t="shared" si="0"/>
        <v>19642.730000000003</v>
      </c>
      <c r="S28" s="13"/>
      <c r="T28" s="13"/>
    </row>
    <row r="29" spans="1:20" ht="21.75" customHeight="1" x14ac:dyDescent="0.25">
      <c r="A29" s="9">
        <v>2400</v>
      </c>
      <c r="B29" s="2" t="s">
        <v>8</v>
      </c>
      <c r="C29" s="53"/>
      <c r="D29" s="53">
        <v>906.29</v>
      </c>
      <c r="E29" s="53"/>
      <c r="F29" s="53"/>
      <c r="G29" s="53"/>
      <c r="H29" s="53">
        <v>245.23</v>
      </c>
      <c r="I29" s="53"/>
      <c r="J29" s="54"/>
      <c r="K29" s="53"/>
      <c r="L29" s="53"/>
      <c r="M29" s="53">
        <v>97.37</v>
      </c>
      <c r="N29" s="53">
        <v>321.55</v>
      </c>
      <c r="O29" s="53"/>
      <c r="P29" s="53">
        <v>142.80000000000001</v>
      </c>
      <c r="Q29" s="53">
        <v>100.36</v>
      </c>
      <c r="R29" s="53">
        <f t="shared" si="0"/>
        <v>1813.6</v>
      </c>
      <c r="S29" s="13"/>
    </row>
    <row r="30" spans="1:20" ht="18.75" customHeight="1" x14ac:dyDescent="0.25">
      <c r="A30" s="9">
        <v>5233</v>
      </c>
      <c r="B30" s="42" t="s">
        <v>31</v>
      </c>
      <c r="C30" s="53">
        <f>15183.8-10531</f>
        <v>4652.7999999999993</v>
      </c>
      <c r="D30" s="53">
        <f>4531.77-2818</f>
        <v>1713.7700000000004</v>
      </c>
      <c r="E30" s="53">
        <f>986.69-707</f>
        <v>279.69000000000005</v>
      </c>
      <c r="F30" s="53">
        <f>1976.44-997</f>
        <v>979.44</v>
      </c>
      <c r="G30" s="53">
        <v>0</v>
      </c>
      <c r="H30" s="53">
        <v>67.130000000000109</v>
      </c>
      <c r="I30" s="53">
        <f>2270.09-825</f>
        <v>1445.0900000000001</v>
      </c>
      <c r="J30" s="54">
        <f>3716.01-2186</f>
        <v>1530.0100000000002</v>
      </c>
      <c r="K30" s="53">
        <v>0</v>
      </c>
      <c r="L30" s="53">
        <f>818.67-525</f>
        <v>293.66999999999996</v>
      </c>
      <c r="M30" s="53">
        <f>1539.78-707</f>
        <v>832.78</v>
      </c>
      <c r="N30" s="53">
        <f>3124.39-1832</f>
        <v>1292.3899999999999</v>
      </c>
      <c r="O30" s="53">
        <f>2710.77-1639</f>
        <v>1071.77</v>
      </c>
      <c r="P30" s="53">
        <f>1676-986</f>
        <v>690</v>
      </c>
      <c r="Q30" s="53">
        <f>1474.97-739</f>
        <v>735.97</v>
      </c>
      <c r="R30" s="53">
        <f t="shared" si="0"/>
        <v>15584.51</v>
      </c>
      <c r="S30" s="13"/>
    </row>
    <row r="31" spans="1:20" ht="18" customHeight="1" x14ac:dyDescent="0.25">
      <c r="A31" s="81" t="s">
        <v>9</v>
      </c>
      <c r="B31" s="82"/>
      <c r="C31" s="57">
        <f t="shared" ref="C31:Q31" si="4">C10+C11+C12+C13+C20+C29+C30</f>
        <v>564396.94000000006</v>
      </c>
      <c r="D31" s="57">
        <f t="shared" si="4"/>
        <v>325425.33999999997</v>
      </c>
      <c r="E31" s="57">
        <f t="shared" si="4"/>
        <v>140606.59999999998</v>
      </c>
      <c r="F31" s="57">
        <f t="shared" si="4"/>
        <v>142857.56999999998</v>
      </c>
      <c r="G31" s="57">
        <f t="shared" si="4"/>
        <v>89488.709999999992</v>
      </c>
      <c r="H31" s="57">
        <f t="shared" si="4"/>
        <v>478200.17</v>
      </c>
      <c r="I31" s="57">
        <f t="shared" si="4"/>
        <v>99912.389999999985</v>
      </c>
      <c r="J31" s="57">
        <f t="shared" si="4"/>
        <v>218841.21</v>
      </c>
      <c r="K31" s="57">
        <f t="shared" si="4"/>
        <v>137800.26</v>
      </c>
      <c r="L31" s="57">
        <f t="shared" si="4"/>
        <v>86868.599999999991</v>
      </c>
      <c r="M31" s="57">
        <f t="shared" si="4"/>
        <v>77222.419999999984</v>
      </c>
      <c r="N31" s="57">
        <f t="shared" si="4"/>
        <v>270595.61000000004</v>
      </c>
      <c r="O31" s="57">
        <f t="shared" si="4"/>
        <v>191483.09659999999</v>
      </c>
      <c r="P31" s="57">
        <f t="shared" si="4"/>
        <v>144260.45000000001</v>
      </c>
      <c r="Q31" s="57">
        <f t="shared" si="4"/>
        <v>136545.61999999997</v>
      </c>
      <c r="R31" s="57">
        <f t="shared" si="0"/>
        <v>3104504.9865999995</v>
      </c>
    </row>
    <row r="32" spans="1:20" ht="24.75" customHeight="1" x14ac:dyDescent="0.25">
      <c r="A32" s="81" t="s">
        <v>28</v>
      </c>
      <c r="B32" s="83"/>
      <c r="C32" s="58">
        <f t="shared" ref="C32:R32" si="5">C31/C8/12</f>
        <v>47.604330296896087</v>
      </c>
      <c r="D32" s="58">
        <f t="shared" si="5"/>
        <v>99.336184371184359</v>
      </c>
      <c r="E32" s="58">
        <f t="shared" si="5"/>
        <v>216.98549382716044</v>
      </c>
      <c r="F32" s="58">
        <f t="shared" si="5"/>
        <v>120.25047979797978</v>
      </c>
      <c r="G32" s="58">
        <f t="shared" si="5"/>
        <v>73.111691176470586</v>
      </c>
      <c r="H32" s="58">
        <f t="shared" si="5"/>
        <v>138.85022357723577</v>
      </c>
      <c r="I32" s="69">
        <f t="shared" si="5"/>
        <v>108.13029220779219</v>
      </c>
      <c r="J32" s="58">
        <f t="shared" si="5"/>
        <v>82.519309954751137</v>
      </c>
      <c r="K32" s="58">
        <f t="shared" si="5"/>
        <v>130.49267045454545</v>
      </c>
      <c r="L32" s="58">
        <f t="shared" si="5"/>
        <v>144.78099999999998</v>
      </c>
      <c r="M32" s="58">
        <f t="shared" si="5"/>
        <v>90.636643192488236</v>
      </c>
      <c r="N32" s="58">
        <f t="shared" si="5"/>
        <v>142.71920358649791</v>
      </c>
      <c r="O32" s="58">
        <f t="shared" si="5"/>
        <v>132.97437263888887</v>
      </c>
      <c r="P32" s="58">
        <f t="shared" si="5"/>
        <v>110.29086391437311</v>
      </c>
      <c r="Q32" s="58">
        <f t="shared" si="5"/>
        <v>169.83286069651737</v>
      </c>
      <c r="R32" s="58">
        <f t="shared" si="5"/>
        <v>93.599402635069922</v>
      </c>
      <c r="S32" s="13"/>
    </row>
    <row r="34" spans="8:8" x14ac:dyDescent="0.2">
      <c r="H34" s="12"/>
    </row>
  </sheetData>
  <mergeCells count="6">
    <mergeCell ref="P1:R1"/>
    <mergeCell ref="A31:B31"/>
    <mergeCell ref="A32:B32"/>
    <mergeCell ref="P2:R2"/>
    <mergeCell ref="P3:R3"/>
    <mergeCell ref="P4:R4"/>
  </mergeCells>
  <phoneticPr fontId="5" type="noConversion"/>
  <pageMargins left="0.25" right="0.25" top="0.75" bottom="0.75" header="0.3" footer="0.3"/>
  <pageSetup paperSize="9" scale="5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V41"/>
  <sheetViews>
    <sheetView workbookViewId="0">
      <selection activeCell="Q1" sqref="Q1:S4"/>
    </sheetView>
  </sheetViews>
  <sheetFormatPr defaultRowHeight="12.75" x14ac:dyDescent="0.2"/>
  <cols>
    <col min="1" max="1" width="12.28515625" customWidth="1"/>
    <col min="2" max="2" width="44.7109375" customWidth="1"/>
    <col min="3" max="3" width="11.85546875" customWidth="1"/>
    <col min="4" max="4" width="11.42578125" customWidth="1"/>
    <col min="5" max="5" width="11.7109375" customWidth="1"/>
    <col min="6" max="6" width="10.5703125" customWidth="1"/>
    <col min="7" max="7" width="9.140625" customWidth="1"/>
    <col min="8" max="8" width="10.42578125" customWidth="1"/>
    <col min="9" max="9" width="13.140625" customWidth="1"/>
    <col min="10" max="10" width="9.140625" customWidth="1"/>
    <col min="11" max="11" width="10.85546875" customWidth="1"/>
    <col min="12" max="12" width="10.28515625" customWidth="1"/>
    <col min="13" max="13" width="10" customWidth="1"/>
    <col min="14" max="14" width="10.28515625" customWidth="1"/>
    <col min="15" max="15" width="10.140625" customWidth="1"/>
    <col min="16" max="16" width="14.28515625" customWidth="1"/>
    <col min="17" max="17" width="10.5703125" customWidth="1"/>
    <col min="18" max="18" width="11.28515625" customWidth="1"/>
    <col min="19" max="19" width="12.140625" style="12" customWidth="1"/>
    <col min="20" max="24" width="9.140625" customWidth="1"/>
  </cols>
  <sheetData>
    <row r="1" spans="1:22" x14ac:dyDescent="0.2">
      <c r="Q1" s="80" t="s">
        <v>77</v>
      </c>
      <c r="R1" s="80"/>
      <c r="S1" s="80"/>
    </row>
    <row r="2" spans="1:22" x14ac:dyDescent="0.2">
      <c r="Q2" s="80" t="s">
        <v>78</v>
      </c>
      <c r="R2" s="84"/>
      <c r="S2" s="84"/>
    </row>
    <row r="3" spans="1:22" x14ac:dyDescent="0.2">
      <c r="Q3" s="80" t="s">
        <v>79</v>
      </c>
      <c r="R3" s="84"/>
      <c r="S3" s="84"/>
    </row>
    <row r="4" spans="1:22" x14ac:dyDescent="0.2">
      <c r="Q4" s="80" t="s">
        <v>76</v>
      </c>
      <c r="R4" s="84"/>
      <c r="S4" s="84"/>
    </row>
    <row r="5" spans="1:22" ht="15" x14ac:dyDescent="0.2">
      <c r="B5" s="6" t="s">
        <v>73</v>
      </c>
    </row>
    <row r="6" spans="1:22" x14ac:dyDescent="0.2">
      <c r="B6" s="3" t="s">
        <v>68</v>
      </c>
    </row>
    <row r="7" spans="1:22" x14ac:dyDescent="0.2">
      <c r="B7" s="3"/>
    </row>
    <row r="8" spans="1:22" x14ac:dyDescent="0.2">
      <c r="A8" s="26"/>
      <c r="B8" s="3"/>
      <c r="C8" s="29"/>
      <c r="D8" s="21"/>
      <c r="N8" s="32"/>
      <c r="O8" s="32"/>
      <c r="P8" s="32"/>
      <c r="Q8" s="32"/>
      <c r="R8" s="32"/>
    </row>
    <row r="9" spans="1:22" ht="63.75" customHeight="1" x14ac:dyDescent="0.2">
      <c r="A9" s="30" t="s">
        <v>1</v>
      </c>
      <c r="B9" s="31" t="s">
        <v>0</v>
      </c>
      <c r="C9" s="15" t="s">
        <v>20</v>
      </c>
      <c r="D9" s="15" t="s">
        <v>21</v>
      </c>
      <c r="E9" s="15" t="s">
        <v>22</v>
      </c>
      <c r="F9" s="15" t="s">
        <v>23</v>
      </c>
      <c r="G9" s="15" t="s">
        <v>12</v>
      </c>
      <c r="H9" s="15" t="s">
        <v>24</v>
      </c>
      <c r="I9" s="15" t="s">
        <v>56</v>
      </c>
      <c r="J9" s="15" t="s">
        <v>25</v>
      </c>
      <c r="K9" s="24" t="s">
        <v>58</v>
      </c>
      <c r="L9" s="15" t="s">
        <v>26</v>
      </c>
      <c r="M9" s="15" t="s">
        <v>16</v>
      </c>
      <c r="N9" s="15" t="s">
        <v>17</v>
      </c>
      <c r="O9" s="15" t="s">
        <v>61</v>
      </c>
      <c r="P9" s="15" t="s">
        <v>29</v>
      </c>
      <c r="Q9" s="15" t="s">
        <v>27</v>
      </c>
      <c r="R9" s="15" t="s">
        <v>53</v>
      </c>
      <c r="S9" s="15" t="s">
        <v>19</v>
      </c>
      <c r="U9" s="16"/>
    </row>
    <row r="10" spans="1:22" s="33" customFormat="1" ht="14.25" customHeight="1" x14ac:dyDescent="0.25">
      <c r="A10" s="19"/>
      <c r="B10" s="4" t="s">
        <v>67</v>
      </c>
      <c r="C10" s="25">
        <v>55</v>
      </c>
      <c r="D10" s="72">
        <v>127</v>
      </c>
      <c r="E10" s="72">
        <v>179</v>
      </c>
      <c r="F10" s="72">
        <v>23</v>
      </c>
      <c r="G10" s="72">
        <v>33</v>
      </c>
      <c r="H10" s="72">
        <v>51</v>
      </c>
      <c r="I10" s="72">
        <v>62</v>
      </c>
      <c r="J10" s="72">
        <v>25</v>
      </c>
      <c r="K10" s="72">
        <v>70</v>
      </c>
      <c r="L10" s="72">
        <v>42</v>
      </c>
      <c r="M10" s="72">
        <v>11</v>
      </c>
      <c r="N10" s="72">
        <v>28</v>
      </c>
      <c r="O10" s="72">
        <v>45</v>
      </c>
      <c r="P10" s="72">
        <v>33</v>
      </c>
      <c r="Q10" s="72">
        <v>66</v>
      </c>
      <c r="R10" s="72">
        <v>12</v>
      </c>
      <c r="S10" s="20">
        <f>C10+D10+E10+F10+G10+H10+J10+L10+M10+N10+P10+Q10+R10+I10+K10+O10</f>
        <v>862</v>
      </c>
    </row>
    <row r="11" spans="1:22" ht="26.25" customHeight="1" x14ac:dyDescent="0.25">
      <c r="A11" s="86" t="s">
        <v>69</v>
      </c>
      <c r="B11" s="87"/>
      <c r="C11" s="87"/>
      <c r="D11" s="87"/>
      <c r="E11" s="87"/>
      <c r="F11" s="87"/>
      <c r="S11" s="38"/>
    </row>
    <row r="12" spans="1:22" ht="39.75" customHeight="1" x14ac:dyDescent="0.25">
      <c r="A12" s="7">
        <v>1100</v>
      </c>
      <c r="B12" s="2" t="s">
        <v>39</v>
      </c>
      <c r="C12" s="46">
        <v>132745.87999999998</v>
      </c>
      <c r="D12" s="46">
        <v>255449.71</v>
      </c>
      <c r="E12" s="46">
        <v>330168.38</v>
      </c>
      <c r="F12" s="46">
        <v>51474.755853658527</v>
      </c>
      <c r="G12" s="46">
        <v>49931.435263157895</v>
      </c>
      <c r="H12" s="46">
        <v>111201.34571428572</v>
      </c>
      <c r="I12" s="46">
        <v>152233.91</v>
      </c>
      <c r="J12" s="46">
        <v>59667.005384615382</v>
      </c>
      <c r="K12" s="46">
        <v>205573.53999999998</v>
      </c>
      <c r="L12" s="46">
        <v>106401.28800000002</v>
      </c>
      <c r="M12" s="46">
        <v>25392.948</v>
      </c>
      <c r="N12" s="46">
        <v>68659.096999999994</v>
      </c>
      <c r="O12" s="46">
        <v>125978.13</v>
      </c>
      <c r="P12" s="46">
        <v>80666.814406779653</v>
      </c>
      <c r="Q12" s="46">
        <v>183733.55162162162</v>
      </c>
      <c r="R12" s="46">
        <v>36268.21727272727</v>
      </c>
      <c r="S12" s="46">
        <f t="shared" ref="S12:S32" si="0">C12+D12+E12+F12+G12+H12+J12+L12+M12+N12+P12+Q12+R12+I12+K12+O12</f>
        <v>1975546.0085168462</v>
      </c>
      <c r="T12" s="70"/>
      <c r="U12" s="1"/>
      <c r="V12" s="1"/>
    </row>
    <row r="13" spans="1:22" ht="66.75" customHeight="1" x14ac:dyDescent="0.25">
      <c r="A13" s="7">
        <v>1200</v>
      </c>
      <c r="B13" s="2" t="s">
        <v>41</v>
      </c>
      <c r="C13" s="46">
        <v>37213.049999999996</v>
      </c>
      <c r="D13" s="46">
        <v>68034</v>
      </c>
      <c r="E13" s="46">
        <v>86368.400000000009</v>
      </c>
      <c r="F13" s="46">
        <v>12730.413446731707</v>
      </c>
      <c r="G13" s="46">
        <v>13477.631532263158</v>
      </c>
      <c r="H13" s="46">
        <v>29863.538552987011</v>
      </c>
      <c r="I13" s="46">
        <v>39545.549999999996</v>
      </c>
      <c r="J13" s="46">
        <v>16045.369315743592</v>
      </c>
      <c r="K13" s="46">
        <v>58662.19</v>
      </c>
      <c r="L13" s="46">
        <v>28477.291675615386</v>
      </c>
      <c r="M13" s="46">
        <v>6867.6134400000001</v>
      </c>
      <c r="N13" s="46">
        <v>24937.230930000002</v>
      </c>
      <c r="O13" s="46">
        <v>32678.92</v>
      </c>
      <c r="P13" s="46">
        <v>20998.447779254238</v>
      </c>
      <c r="Q13" s="46">
        <v>48448.056379351357</v>
      </c>
      <c r="R13" s="46">
        <v>9423.1866460000001</v>
      </c>
      <c r="S13" s="46">
        <f t="shared" si="0"/>
        <v>533770.88969794649</v>
      </c>
      <c r="T13" s="70"/>
      <c r="U13" s="75"/>
      <c r="V13" s="1"/>
    </row>
    <row r="14" spans="1:22" ht="42.75" customHeight="1" x14ac:dyDescent="0.25">
      <c r="A14" s="7">
        <v>2100</v>
      </c>
      <c r="B14" s="2" t="s">
        <v>32</v>
      </c>
      <c r="C14" s="46">
        <v>0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48.8</v>
      </c>
      <c r="P14" s="46">
        <v>0</v>
      </c>
      <c r="Q14" s="46">
        <v>0</v>
      </c>
      <c r="R14" s="46">
        <v>0</v>
      </c>
      <c r="S14" s="46">
        <f t="shared" si="0"/>
        <v>48.8</v>
      </c>
      <c r="V14" s="1"/>
    </row>
    <row r="15" spans="1:22" ht="28.5" customHeight="1" x14ac:dyDescent="0.25">
      <c r="A15" s="7">
        <v>2200</v>
      </c>
      <c r="B15" s="2" t="s">
        <v>40</v>
      </c>
      <c r="C15" s="47">
        <f>SUM(C16:C21)</f>
        <v>19277.649999999998</v>
      </c>
      <c r="D15" s="47">
        <f t="shared" ref="D15:R15" si="1">SUM(D16:D21)</f>
        <v>34291.370000000003</v>
      </c>
      <c r="E15" s="47">
        <f t="shared" si="1"/>
        <v>88009.12999999999</v>
      </c>
      <c r="F15" s="47">
        <f t="shared" si="1"/>
        <v>7670.8600000000006</v>
      </c>
      <c r="G15" s="47">
        <f t="shared" si="1"/>
        <v>6479.45</v>
      </c>
      <c r="H15" s="47">
        <f t="shared" si="1"/>
        <v>27586.97</v>
      </c>
      <c r="I15" s="47">
        <f t="shared" si="1"/>
        <v>21984.780000000002</v>
      </c>
      <c r="J15" s="47">
        <f t="shared" si="1"/>
        <v>7699.21</v>
      </c>
      <c r="K15" s="47">
        <f t="shared" si="1"/>
        <v>46813.59</v>
      </c>
      <c r="L15" s="47">
        <f t="shared" si="1"/>
        <v>17000.289999999997</v>
      </c>
      <c r="M15" s="47">
        <f t="shared" si="1"/>
        <v>5626.2699999999995</v>
      </c>
      <c r="N15" s="47">
        <f t="shared" si="1"/>
        <v>14524.349999999999</v>
      </c>
      <c r="O15" s="47">
        <f t="shared" si="1"/>
        <v>24191.920000000002</v>
      </c>
      <c r="P15" s="47">
        <f t="shared" si="1"/>
        <v>11333.839999999998</v>
      </c>
      <c r="Q15" s="47">
        <f t="shared" si="1"/>
        <v>32671.99</v>
      </c>
      <c r="R15" s="47">
        <f t="shared" si="1"/>
        <v>4655.93</v>
      </c>
      <c r="S15" s="46">
        <f t="shared" si="0"/>
        <v>369817.60000000003</v>
      </c>
      <c r="V15" s="1"/>
    </row>
    <row r="16" spans="1:22" ht="18.75" customHeight="1" x14ac:dyDescent="0.25">
      <c r="A16" s="8">
        <v>2210</v>
      </c>
      <c r="B16" s="4" t="s">
        <v>2</v>
      </c>
      <c r="C16" s="49">
        <v>374.79</v>
      </c>
      <c r="D16" s="49">
        <v>329.75</v>
      </c>
      <c r="E16" s="49">
        <v>526.34</v>
      </c>
      <c r="F16" s="49">
        <v>65.25</v>
      </c>
      <c r="G16" s="49">
        <v>274.32</v>
      </c>
      <c r="H16" s="49">
        <v>268.8</v>
      </c>
      <c r="I16" s="49">
        <v>792.65</v>
      </c>
      <c r="J16" s="49">
        <v>183.16</v>
      </c>
      <c r="K16" s="49">
        <v>1542.04</v>
      </c>
      <c r="L16" s="49">
        <v>434.93</v>
      </c>
      <c r="M16" s="49">
        <v>37.31</v>
      </c>
      <c r="N16" s="49">
        <v>410.99</v>
      </c>
      <c r="O16" s="49">
        <v>321.48</v>
      </c>
      <c r="P16" s="49">
        <v>254.08</v>
      </c>
      <c r="Q16" s="49">
        <v>445.04</v>
      </c>
      <c r="R16" s="49">
        <v>0</v>
      </c>
      <c r="S16" s="46">
        <f t="shared" si="0"/>
        <v>6260.93</v>
      </c>
      <c r="V16" s="1"/>
    </row>
    <row r="17" spans="1:22" ht="21" customHeight="1" x14ac:dyDescent="0.25">
      <c r="A17" s="8">
        <v>2220</v>
      </c>
      <c r="B17" s="4" t="s">
        <v>3</v>
      </c>
      <c r="C17" s="49">
        <v>13492.46</v>
      </c>
      <c r="D17" s="49">
        <v>28508.9</v>
      </c>
      <c r="E17" s="49">
        <v>60139.35</v>
      </c>
      <c r="F17" s="49">
        <v>6643.94</v>
      </c>
      <c r="G17" s="49">
        <v>5619.13</v>
      </c>
      <c r="H17" s="49">
        <v>24005.93</v>
      </c>
      <c r="I17" s="49">
        <v>16516.650000000001</v>
      </c>
      <c r="J17" s="49">
        <v>6492.05</v>
      </c>
      <c r="K17" s="49">
        <v>34379.199999999997</v>
      </c>
      <c r="L17" s="49">
        <v>14327.71</v>
      </c>
      <c r="M17" s="49">
        <v>3740.6</v>
      </c>
      <c r="N17" s="49">
        <v>13454.99</v>
      </c>
      <c r="O17" s="49">
        <v>22355.24</v>
      </c>
      <c r="P17" s="49">
        <v>10169.15</v>
      </c>
      <c r="Q17" s="49">
        <v>11210.65</v>
      </c>
      <c r="R17" s="49">
        <v>4614.75</v>
      </c>
      <c r="S17" s="46">
        <f t="shared" si="0"/>
        <v>275670.69999999995</v>
      </c>
      <c r="U17" s="1"/>
      <c r="V17" s="1"/>
    </row>
    <row r="18" spans="1:22" ht="27" customHeight="1" x14ac:dyDescent="0.25">
      <c r="A18" s="8">
        <v>2230</v>
      </c>
      <c r="B18" s="4" t="s">
        <v>4</v>
      </c>
      <c r="C18" s="49">
        <v>517.05999999999995</v>
      </c>
      <c r="D18" s="49">
        <v>1470.61</v>
      </c>
      <c r="E18" s="49">
        <v>1711.78</v>
      </c>
      <c r="F18" s="49">
        <v>198.31</v>
      </c>
      <c r="G18" s="49">
        <v>159.5</v>
      </c>
      <c r="H18" s="49">
        <v>36.06</v>
      </c>
      <c r="I18" s="49">
        <v>813.63</v>
      </c>
      <c r="J18" s="49">
        <v>191.67</v>
      </c>
      <c r="K18" s="49">
        <v>1918.28</v>
      </c>
      <c r="L18" s="49">
        <v>789.21</v>
      </c>
      <c r="M18" s="49">
        <v>1101.83</v>
      </c>
      <c r="N18" s="49">
        <v>65.8</v>
      </c>
      <c r="O18" s="49">
        <v>498.18</v>
      </c>
      <c r="P18" s="49">
        <v>233.96</v>
      </c>
      <c r="Q18" s="49">
        <v>760.14</v>
      </c>
      <c r="R18" s="49">
        <v>0</v>
      </c>
      <c r="S18" s="46">
        <f t="shared" si="0"/>
        <v>10466.02</v>
      </c>
      <c r="U18" s="1"/>
      <c r="V18" s="1"/>
    </row>
    <row r="19" spans="1:22" ht="27" customHeight="1" x14ac:dyDescent="0.25">
      <c r="A19" s="8">
        <v>2240</v>
      </c>
      <c r="B19" s="4" t="s">
        <v>33</v>
      </c>
      <c r="C19" s="49">
        <v>4020.54</v>
      </c>
      <c r="D19" s="49">
        <v>3708.18</v>
      </c>
      <c r="E19" s="49">
        <v>25631.66</v>
      </c>
      <c r="F19" s="49">
        <v>515.29</v>
      </c>
      <c r="G19" s="49">
        <v>421.54</v>
      </c>
      <c r="H19" s="49">
        <v>2495.62</v>
      </c>
      <c r="I19" s="49">
        <v>3289.43</v>
      </c>
      <c r="J19" s="49">
        <v>384.71</v>
      </c>
      <c r="K19" s="49">
        <v>8126.15</v>
      </c>
      <c r="L19" s="49">
        <v>1192.51</v>
      </c>
      <c r="M19" s="49">
        <v>728.78</v>
      </c>
      <c r="N19" s="49">
        <v>592.57000000000005</v>
      </c>
      <c r="O19" s="49">
        <v>802.81</v>
      </c>
      <c r="P19" s="49">
        <v>348.5</v>
      </c>
      <c r="Q19" s="49">
        <v>19201.849999999999</v>
      </c>
      <c r="R19" s="49">
        <v>41.18</v>
      </c>
      <c r="S19" s="46">
        <f t="shared" si="0"/>
        <v>71501.319999999992</v>
      </c>
      <c r="U19" s="1"/>
      <c r="V19" s="1"/>
    </row>
    <row r="20" spans="1:22" ht="17.25" customHeight="1" x14ac:dyDescent="0.25">
      <c r="A20" s="8">
        <v>2250</v>
      </c>
      <c r="B20" s="4" t="s">
        <v>5</v>
      </c>
      <c r="C20" s="49">
        <v>215.35</v>
      </c>
      <c r="D20" s="49">
        <v>0</v>
      </c>
      <c r="E20" s="49">
        <v>0</v>
      </c>
      <c r="F20" s="49">
        <v>232.51</v>
      </c>
      <c r="G20" s="49">
        <v>0</v>
      </c>
      <c r="H20" s="49">
        <v>230.81</v>
      </c>
      <c r="I20" s="49">
        <v>572.41999999999996</v>
      </c>
      <c r="J20" s="49">
        <v>236.2</v>
      </c>
      <c r="K20" s="49">
        <v>847.92</v>
      </c>
      <c r="L20" s="49">
        <v>255.93</v>
      </c>
      <c r="M20" s="49">
        <v>0</v>
      </c>
      <c r="N20" s="49">
        <v>0</v>
      </c>
      <c r="O20" s="49">
        <v>188.93</v>
      </c>
      <c r="P20" s="49">
        <v>194.91</v>
      </c>
      <c r="Q20" s="49">
        <v>207.2</v>
      </c>
      <c r="R20" s="49">
        <v>0</v>
      </c>
      <c r="S20" s="46">
        <f t="shared" si="0"/>
        <v>3182.1800000000003</v>
      </c>
      <c r="V20" s="1"/>
    </row>
    <row r="21" spans="1:22" ht="27" customHeight="1" x14ac:dyDescent="0.25">
      <c r="A21" s="8">
        <v>2260</v>
      </c>
      <c r="B21" s="4" t="s">
        <v>34</v>
      </c>
      <c r="C21" s="49">
        <v>657.45</v>
      </c>
      <c r="D21" s="49">
        <v>273.93</v>
      </c>
      <c r="E21" s="49">
        <v>0</v>
      </c>
      <c r="F21" s="49">
        <v>15.56</v>
      </c>
      <c r="G21" s="49">
        <v>4.96</v>
      </c>
      <c r="H21" s="49">
        <v>549.75</v>
      </c>
      <c r="I21" s="49">
        <v>0</v>
      </c>
      <c r="J21" s="49">
        <v>211.42</v>
      </c>
      <c r="K21" s="49">
        <v>0</v>
      </c>
      <c r="L21" s="49">
        <v>0</v>
      </c>
      <c r="M21" s="49">
        <v>17.75</v>
      </c>
      <c r="N21" s="49">
        <v>0</v>
      </c>
      <c r="O21" s="49">
        <v>25.28</v>
      </c>
      <c r="P21" s="49">
        <v>133.24</v>
      </c>
      <c r="Q21" s="49">
        <v>847.11</v>
      </c>
      <c r="R21" s="49">
        <v>0</v>
      </c>
      <c r="S21" s="46">
        <f t="shared" si="0"/>
        <v>2736.4500000000003</v>
      </c>
      <c r="U21" s="1"/>
      <c r="V21" s="1"/>
    </row>
    <row r="22" spans="1:22" ht="24.75" customHeight="1" x14ac:dyDescent="0.25">
      <c r="A22" s="7">
        <v>2300</v>
      </c>
      <c r="B22" s="2" t="s">
        <v>35</v>
      </c>
      <c r="C22" s="47">
        <f>SUM(C23:C29)</f>
        <v>17561.609999999997</v>
      </c>
      <c r="D22" s="47">
        <f t="shared" ref="D22:R22" si="2">SUM(D23:D29)</f>
        <v>32880.550000000003</v>
      </c>
      <c r="E22" s="47">
        <f t="shared" si="2"/>
        <v>37231.68</v>
      </c>
      <c r="F22" s="47">
        <f t="shared" si="2"/>
        <v>6139.6399999999994</v>
      </c>
      <c r="G22" s="47">
        <f t="shared" si="2"/>
        <v>7778.33</v>
      </c>
      <c r="H22" s="47">
        <f t="shared" si="2"/>
        <v>11325.31</v>
      </c>
      <c r="I22" s="47">
        <f t="shared" si="2"/>
        <v>20119.240000000002</v>
      </c>
      <c r="J22" s="47">
        <f t="shared" si="2"/>
        <v>5351.21</v>
      </c>
      <c r="K22" s="47">
        <f t="shared" si="2"/>
        <v>17044.72</v>
      </c>
      <c r="L22" s="47">
        <f t="shared" si="2"/>
        <v>11051.56</v>
      </c>
      <c r="M22" s="47">
        <f t="shared" si="2"/>
        <v>9353.0299999999988</v>
      </c>
      <c r="N22" s="47">
        <f t="shared" si="2"/>
        <v>6681.2699999999995</v>
      </c>
      <c r="O22" s="47">
        <f t="shared" si="2"/>
        <v>11335.859999999999</v>
      </c>
      <c r="P22" s="47">
        <f t="shared" si="2"/>
        <v>12153.53</v>
      </c>
      <c r="Q22" s="47">
        <f t="shared" si="2"/>
        <v>32943.199999999997</v>
      </c>
      <c r="R22" s="47">
        <f t="shared" si="2"/>
        <v>6251.13</v>
      </c>
      <c r="S22" s="46">
        <f t="shared" si="0"/>
        <v>245201.86999999997</v>
      </c>
      <c r="T22" s="1"/>
      <c r="V22" s="1"/>
    </row>
    <row r="23" spans="1:22" ht="15.75" customHeight="1" x14ac:dyDescent="0.25">
      <c r="A23" s="10">
        <v>2310</v>
      </c>
      <c r="B23" s="4" t="s">
        <v>36</v>
      </c>
      <c r="C23" s="49">
        <v>1187.29</v>
      </c>
      <c r="D23" s="49">
        <v>592.41999999999996</v>
      </c>
      <c r="E23" s="49">
        <v>3053.85</v>
      </c>
      <c r="F23" s="49">
        <v>393.22</v>
      </c>
      <c r="G23" s="49">
        <v>559.54</v>
      </c>
      <c r="H23" s="49">
        <v>702.98</v>
      </c>
      <c r="I23" s="49">
        <v>2882.27</v>
      </c>
      <c r="J23" s="49">
        <v>150.57</v>
      </c>
      <c r="K23" s="49">
        <v>2529.8200000000002</v>
      </c>
      <c r="L23" s="49">
        <v>1089.24</v>
      </c>
      <c r="M23" s="49">
        <v>523.75</v>
      </c>
      <c r="N23" s="49">
        <v>827.13</v>
      </c>
      <c r="O23" s="49">
        <v>886.86</v>
      </c>
      <c r="P23" s="49">
        <v>1666.67</v>
      </c>
      <c r="Q23" s="49">
        <v>2090.4899999999998</v>
      </c>
      <c r="R23" s="49">
        <v>43.04</v>
      </c>
      <c r="S23" s="46">
        <f t="shared" si="0"/>
        <v>19179.14</v>
      </c>
      <c r="U23" s="1"/>
      <c r="V23" s="1"/>
    </row>
    <row r="24" spans="1:22" ht="27.75" customHeight="1" x14ac:dyDescent="0.25">
      <c r="A24" s="10">
        <v>2320</v>
      </c>
      <c r="B24" s="4" t="s">
        <v>6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6616.49</v>
      </c>
      <c r="N24" s="49">
        <v>0</v>
      </c>
      <c r="O24" s="49">
        <v>0</v>
      </c>
      <c r="P24" s="49">
        <v>0</v>
      </c>
      <c r="Q24" s="78">
        <v>13051.65</v>
      </c>
      <c r="R24" s="49">
        <v>3521.75</v>
      </c>
      <c r="S24" s="46">
        <f t="shared" si="0"/>
        <v>23189.89</v>
      </c>
      <c r="U24" s="1"/>
      <c r="V24" s="1"/>
    </row>
    <row r="25" spans="1:22" ht="24.75" customHeight="1" x14ac:dyDescent="0.25">
      <c r="A25" s="10">
        <v>2340</v>
      </c>
      <c r="B25" s="4" t="s">
        <v>37</v>
      </c>
      <c r="C25" s="49">
        <v>17.18</v>
      </c>
      <c r="D25" s="49">
        <v>35.299999999999997</v>
      </c>
      <c r="E25" s="49">
        <v>102.26</v>
      </c>
      <c r="F25" s="49">
        <v>0</v>
      </c>
      <c r="G25" s="49">
        <v>17.79</v>
      </c>
      <c r="H25" s="49">
        <v>0</v>
      </c>
      <c r="I25" s="49">
        <v>16.309999999999999</v>
      </c>
      <c r="J25" s="49">
        <v>0</v>
      </c>
      <c r="K25" s="49">
        <v>0</v>
      </c>
      <c r="L25" s="49">
        <v>0</v>
      </c>
      <c r="M25" s="49">
        <v>0</v>
      </c>
      <c r="N25" s="49">
        <v>37.020000000000003</v>
      </c>
      <c r="O25" s="49">
        <v>0</v>
      </c>
      <c r="P25" s="49">
        <v>27.4</v>
      </c>
      <c r="Q25" s="49">
        <v>0</v>
      </c>
      <c r="R25" s="49">
        <v>0</v>
      </c>
      <c r="S25" s="46">
        <f t="shared" si="0"/>
        <v>253.26000000000002</v>
      </c>
      <c r="V25" s="1"/>
    </row>
    <row r="26" spans="1:22" ht="20.25" customHeight="1" x14ac:dyDescent="0.25">
      <c r="A26" s="10">
        <v>2350</v>
      </c>
      <c r="B26" s="4" t="s">
        <v>7</v>
      </c>
      <c r="C26" s="49">
        <v>2927.93</v>
      </c>
      <c r="D26" s="49">
        <v>1953.47</v>
      </c>
      <c r="E26" s="49">
        <v>4020.06</v>
      </c>
      <c r="F26" s="49">
        <v>473.54</v>
      </c>
      <c r="G26" s="49">
        <v>889.59</v>
      </c>
      <c r="H26" s="49">
        <v>741.46</v>
      </c>
      <c r="I26" s="49">
        <v>2044.4</v>
      </c>
      <c r="J26" s="49">
        <v>631.78</v>
      </c>
      <c r="K26" s="49">
        <v>1877.03</v>
      </c>
      <c r="L26" s="49">
        <v>1395.94</v>
      </c>
      <c r="M26" s="49">
        <v>429.23</v>
      </c>
      <c r="N26" s="49">
        <v>1517.13</v>
      </c>
      <c r="O26" s="49">
        <v>1890.66</v>
      </c>
      <c r="P26" s="49">
        <v>1533.97</v>
      </c>
      <c r="Q26" s="49">
        <v>2561.92</v>
      </c>
      <c r="R26" s="49">
        <v>333.37</v>
      </c>
      <c r="S26" s="46">
        <f t="shared" si="0"/>
        <v>25221.480000000003</v>
      </c>
      <c r="V26" s="1"/>
    </row>
    <row r="27" spans="1:22" ht="38.25" customHeight="1" x14ac:dyDescent="0.25">
      <c r="A27" s="10">
        <v>2360</v>
      </c>
      <c r="B27" s="4" t="s">
        <v>38</v>
      </c>
      <c r="C27" s="49">
        <v>340.17</v>
      </c>
      <c r="D27" s="49">
        <v>20.69</v>
      </c>
      <c r="E27" s="49">
        <v>213.21</v>
      </c>
      <c r="F27" s="49">
        <v>137.79</v>
      </c>
      <c r="G27" s="49">
        <v>18.87</v>
      </c>
      <c r="H27" s="49">
        <v>74.650000000000006</v>
      </c>
      <c r="I27" s="49">
        <v>525.01</v>
      </c>
      <c r="J27" s="49">
        <v>197.48</v>
      </c>
      <c r="K27" s="49">
        <v>0</v>
      </c>
      <c r="L27" s="49">
        <v>295.48</v>
      </c>
      <c r="M27" s="49">
        <v>0</v>
      </c>
      <c r="N27" s="49">
        <v>6.3</v>
      </c>
      <c r="O27" s="49">
        <v>0</v>
      </c>
      <c r="P27" s="49">
        <v>48.73</v>
      </c>
      <c r="Q27" s="49">
        <v>61.27</v>
      </c>
      <c r="R27" s="49">
        <v>0</v>
      </c>
      <c r="S27" s="46">
        <f t="shared" si="0"/>
        <v>1939.65</v>
      </c>
      <c r="V27" s="1"/>
    </row>
    <row r="28" spans="1:22" ht="27" customHeight="1" x14ac:dyDescent="0.25">
      <c r="A28" s="44">
        <v>2363</v>
      </c>
      <c r="B28" s="45" t="s">
        <v>55</v>
      </c>
      <c r="C28" s="50">
        <v>12082.88</v>
      </c>
      <c r="D28" s="50">
        <v>30046.44</v>
      </c>
      <c r="E28" s="50">
        <v>29738.77</v>
      </c>
      <c r="F28" s="50">
        <v>4697.1099999999997</v>
      </c>
      <c r="G28" s="50">
        <v>5990.93</v>
      </c>
      <c r="H28" s="50">
        <v>9491.7099999999991</v>
      </c>
      <c r="I28" s="50">
        <v>14421.76</v>
      </c>
      <c r="J28" s="50">
        <v>3727.05</v>
      </c>
      <c r="K28" s="50">
        <v>10947.18</v>
      </c>
      <c r="L28" s="50">
        <v>7835.58</v>
      </c>
      <c r="M28" s="50">
        <v>1748.16</v>
      </c>
      <c r="N28" s="50">
        <v>3976.5</v>
      </c>
      <c r="O28" s="50">
        <v>6609.29</v>
      </c>
      <c r="P28" s="50">
        <v>8443.81</v>
      </c>
      <c r="Q28" s="50">
        <v>15058.31</v>
      </c>
      <c r="R28" s="50">
        <v>2118.38</v>
      </c>
      <c r="S28" s="48">
        <f t="shared" si="0"/>
        <v>166933.86000000002</v>
      </c>
      <c r="U28" s="37"/>
      <c r="V28" s="1"/>
    </row>
    <row r="29" spans="1:22" ht="20.25" customHeight="1" x14ac:dyDescent="0.25">
      <c r="A29" s="10">
        <v>2370</v>
      </c>
      <c r="B29" s="4" t="s">
        <v>30</v>
      </c>
      <c r="C29" s="49">
        <v>1006.1600000000001</v>
      </c>
      <c r="D29" s="49">
        <v>232.23000000000002</v>
      </c>
      <c r="E29" s="49">
        <v>103.52999999999997</v>
      </c>
      <c r="F29" s="49">
        <v>437.98</v>
      </c>
      <c r="G29" s="49">
        <v>301.61</v>
      </c>
      <c r="H29" s="49">
        <v>314.51</v>
      </c>
      <c r="I29" s="49">
        <v>229.49</v>
      </c>
      <c r="J29" s="49">
        <v>644.33000000000004</v>
      </c>
      <c r="K29" s="49">
        <v>1690.69</v>
      </c>
      <c r="L29" s="49">
        <v>435.32000000000005</v>
      </c>
      <c r="M29" s="49">
        <v>35.400000000000006</v>
      </c>
      <c r="N29" s="49">
        <v>317.19</v>
      </c>
      <c r="O29" s="49">
        <v>1949.05</v>
      </c>
      <c r="P29" s="49">
        <v>432.95</v>
      </c>
      <c r="Q29" s="49">
        <v>119.55999999999995</v>
      </c>
      <c r="R29" s="49">
        <v>234.59</v>
      </c>
      <c r="S29" s="46">
        <f t="shared" si="0"/>
        <v>8484.59</v>
      </c>
      <c r="V29" s="1"/>
    </row>
    <row r="30" spans="1:22" ht="21.75" customHeight="1" x14ac:dyDescent="0.25">
      <c r="A30" s="9">
        <v>2400</v>
      </c>
      <c r="B30" s="2" t="s">
        <v>8</v>
      </c>
      <c r="C30" s="47">
        <v>0</v>
      </c>
      <c r="D30" s="47">
        <v>0</v>
      </c>
      <c r="E30" s="47">
        <v>138.09</v>
      </c>
      <c r="F30" s="47">
        <v>33.1</v>
      </c>
      <c r="G30" s="47">
        <v>0</v>
      </c>
      <c r="H30" s="47">
        <v>0</v>
      </c>
      <c r="I30" s="47">
        <v>0</v>
      </c>
      <c r="J30" s="47">
        <v>0</v>
      </c>
      <c r="K30" s="47">
        <v>113.36</v>
      </c>
      <c r="L30" s="47">
        <v>0</v>
      </c>
      <c r="M30" s="47">
        <v>0</v>
      </c>
      <c r="N30" s="47">
        <v>0</v>
      </c>
      <c r="O30" s="47">
        <v>0</v>
      </c>
      <c r="P30" s="47">
        <v>0</v>
      </c>
      <c r="Q30" s="47">
        <v>92.15</v>
      </c>
      <c r="R30" s="47">
        <v>0</v>
      </c>
      <c r="S30" s="46">
        <f t="shared" si="0"/>
        <v>376.70000000000005</v>
      </c>
      <c r="V30" s="1"/>
    </row>
    <row r="31" spans="1:22" ht="18.75" customHeight="1" x14ac:dyDescent="0.25">
      <c r="A31" s="9">
        <v>5233</v>
      </c>
      <c r="B31" s="2" t="s">
        <v>31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v>0</v>
      </c>
      <c r="P31" s="47">
        <v>0</v>
      </c>
      <c r="Q31" s="47">
        <v>0</v>
      </c>
      <c r="R31" s="47">
        <v>0</v>
      </c>
      <c r="S31" s="46">
        <f t="shared" si="0"/>
        <v>0</v>
      </c>
      <c r="V31" s="1"/>
    </row>
    <row r="32" spans="1:22" ht="18" customHeight="1" x14ac:dyDescent="0.25">
      <c r="A32" s="81" t="s">
        <v>9</v>
      </c>
      <c r="B32" s="82"/>
      <c r="C32" s="59">
        <f t="shared" ref="C32:R32" si="3">C12+C13+C14+C15+C22+C30+C31</f>
        <v>206798.18999999994</v>
      </c>
      <c r="D32" s="59">
        <f t="shared" si="3"/>
        <v>390655.62999999995</v>
      </c>
      <c r="E32" s="59">
        <f t="shared" si="3"/>
        <v>541915.68000000005</v>
      </c>
      <c r="F32" s="59">
        <f t="shared" si="3"/>
        <v>78048.769300390239</v>
      </c>
      <c r="G32" s="59">
        <f t="shared" si="3"/>
        <v>77666.84679542105</v>
      </c>
      <c r="H32" s="59">
        <f t="shared" si="3"/>
        <v>179977.16426727272</v>
      </c>
      <c r="I32" s="59">
        <f t="shared" si="3"/>
        <v>233883.47999999998</v>
      </c>
      <c r="J32" s="59">
        <f t="shared" si="3"/>
        <v>88762.794700358994</v>
      </c>
      <c r="K32" s="59">
        <f t="shared" si="3"/>
        <v>328207.39999999991</v>
      </c>
      <c r="L32" s="59">
        <f t="shared" si="3"/>
        <v>162930.42967561542</v>
      </c>
      <c r="M32" s="59">
        <f t="shared" si="3"/>
        <v>47239.861440000001</v>
      </c>
      <c r="N32" s="59">
        <f t="shared" si="3"/>
        <v>114801.94793000001</v>
      </c>
      <c r="O32" s="59">
        <f t="shared" si="3"/>
        <v>194233.62999999998</v>
      </c>
      <c r="P32" s="59">
        <f t="shared" si="3"/>
        <v>125152.63218603388</v>
      </c>
      <c r="Q32" s="59">
        <f t="shared" si="3"/>
        <v>297888.94800097303</v>
      </c>
      <c r="R32" s="59">
        <f t="shared" si="3"/>
        <v>56598.46391872727</v>
      </c>
      <c r="S32" s="59">
        <f t="shared" si="0"/>
        <v>3124761.8682147926</v>
      </c>
      <c r="T32" s="18"/>
    </row>
    <row r="33" spans="1:20" ht="30" customHeight="1" x14ac:dyDescent="0.25">
      <c r="A33" s="81" t="s">
        <v>72</v>
      </c>
      <c r="B33" s="85"/>
      <c r="C33" s="60">
        <f t="shared" ref="C33:S33" si="4">C32/12/C10</f>
        <v>313.3305909090908</v>
      </c>
      <c r="D33" s="60">
        <f t="shared" si="4"/>
        <v>256.33571522309711</v>
      </c>
      <c r="E33" s="60">
        <f t="shared" si="4"/>
        <v>252.28849162011176</v>
      </c>
      <c r="F33" s="60">
        <f t="shared" si="4"/>
        <v>282.78539601590666</v>
      </c>
      <c r="G33" s="60">
        <f t="shared" si="4"/>
        <v>196.12840099853798</v>
      </c>
      <c r="H33" s="60">
        <f t="shared" si="4"/>
        <v>294.08033377005347</v>
      </c>
      <c r="I33" s="60">
        <f t="shared" si="4"/>
        <v>314.35951612903222</v>
      </c>
      <c r="J33" s="60">
        <f t="shared" si="4"/>
        <v>295.87598233452997</v>
      </c>
      <c r="K33" s="60">
        <f t="shared" si="4"/>
        <v>390.72309523809508</v>
      </c>
      <c r="L33" s="60">
        <f t="shared" si="4"/>
        <v>323.27466205479249</v>
      </c>
      <c r="M33" s="60">
        <f t="shared" si="4"/>
        <v>357.87773818181819</v>
      </c>
      <c r="N33" s="60">
        <f t="shared" si="4"/>
        <v>341.67246407738099</v>
      </c>
      <c r="O33" s="60">
        <f t="shared" si="4"/>
        <v>359.69190740740737</v>
      </c>
      <c r="P33" s="60">
        <f t="shared" si="4"/>
        <v>316.04200046978252</v>
      </c>
      <c r="Q33" s="60">
        <f t="shared" si="4"/>
        <v>376.12240909213767</v>
      </c>
      <c r="R33" s="60">
        <f t="shared" si="4"/>
        <v>393.04488832449493</v>
      </c>
      <c r="S33" s="60">
        <f t="shared" si="4"/>
        <v>302.08448068588484</v>
      </c>
    </row>
    <row r="34" spans="1:20" x14ac:dyDescent="0.2">
      <c r="C34" s="5"/>
      <c r="D34" s="5"/>
    </row>
    <row r="35" spans="1:20" x14ac:dyDescent="0.2"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</row>
    <row r="36" spans="1:20" x14ac:dyDescent="0.2">
      <c r="B36" s="17"/>
      <c r="C36" s="3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39"/>
      <c r="T36" s="14"/>
    </row>
    <row r="37" spans="1:20" x14ac:dyDescent="0.2">
      <c r="B37" s="17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</row>
    <row r="38" spans="1:20" x14ac:dyDescent="0.2">
      <c r="B38" s="17"/>
      <c r="H38" s="14"/>
      <c r="I38" s="14"/>
    </row>
    <row r="39" spans="1:20" x14ac:dyDescent="0.2">
      <c r="B39" s="68"/>
      <c r="C39" s="14"/>
      <c r="D39" s="14"/>
      <c r="E39" s="14"/>
      <c r="M39" s="14"/>
    </row>
    <row r="40" spans="1:20" x14ac:dyDescent="0.2">
      <c r="B40" s="17"/>
      <c r="S40" s="79"/>
    </row>
    <row r="41" spans="1:20" x14ac:dyDescent="0.2">
      <c r="B41" s="17"/>
    </row>
  </sheetData>
  <mergeCells count="7">
    <mergeCell ref="A32:B32"/>
    <mergeCell ref="A33:B33"/>
    <mergeCell ref="A11:F11"/>
    <mergeCell ref="Q1:S1"/>
    <mergeCell ref="Q2:S2"/>
    <mergeCell ref="Q3:S3"/>
    <mergeCell ref="Q4:S4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T40"/>
  <sheetViews>
    <sheetView workbookViewId="0">
      <selection activeCell="Q1" sqref="Q1:S4"/>
    </sheetView>
  </sheetViews>
  <sheetFormatPr defaultRowHeight="12.75" x14ac:dyDescent="0.2"/>
  <cols>
    <col min="1" max="1" width="12.28515625" customWidth="1"/>
    <col min="2" max="2" width="53" customWidth="1"/>
    <col min="3" max="3" width="11.85546875" customWidth="1"/>
    <col min="4" max="4" width="10.7109375" customWidth="1"/>
    <col min="5" max="5" width="9.85546875" customWidth="1"/>
    <col min="6" max="6" width="9.5703125" customWidth="1"/>
    <col min="7" max="7" width="9.140625" customWidth="1"/>
    <col min="8" max="8" width="9.5703125" customWidth="1"/>
    <col min="9" max="9" width="12.7109375" customWidth="1"/>
    <col min="10" max="11" width="10.85546875" customWidth="1"/>
    <col min="12" max="12" width="10.7109375" customWidth="1"/>
    <col min="13" max="13" width="8.7109375" customWidth="1"/>
    <col min="14" max="14" width="9.42578125" customWidth="1"/>
    <col min="15" max="15" width="13.7109375" customWidth="1"/>
    <col min="16" max="16" width="13.5703125" customWidth="1"/>
    <col min="17" max="17" width="13" customWidth="1"/>
    <col min="18" max="18" width="11.42578125" customWidth="1"/>
    <col min="19" max="19" width="11.42578125" style="12" customWidth="1"/>
    <col min="20" max="20" width="9.140625" customWidth="1"/>
  </cols>
  <sheetData>
    <row r="1" spans="1:19" x14ac:dyDescent="0.2">
      <c r="Q1" s="80" t="s">
        <v>77</v>
      </c>
      <c r="R1" s="80"/>
      <c r="S1" s="80"/>
    </row>
    <row r="2" spans="1:19" x14ac:dyDescent="0.2">
      <c r="Q2" s="80" t="s">
        <v>78</v>
      </c>
      <c r="R2" s="84"/>
      <c r="S2" s="84"/>
    </row>
    <row r="3" spans="1:19" x14ac:dyDescent="0.2">
      <c r="Q3" s="80" t="s">
        <v>79</v>
      </c>
      <c r="R3" s="84"/>
      <c r="S3" s="84"/>
    </row>
    <row r="4" spans="1:19" x14ac:dyDescent="0.2">
      <c r="Q4" s="80" t="s">
        <v>76</v>
      </c>
      <c r="R4" s="84"/>
      <c r="S4" s="84"/>
    </row>
    <row r="5" spans="1:19" ht="15" x14ac:dyDescent="0.2">
      <c r="B5" s="6" t="s">
        <v>75</v>
      </c>
    </row>
    <row r="6" spans="1:19" x14ac:dyDescent="0.2">
      <c r="A6" s="1"/>
      <c r="B6" s="3" t="s">
        <v>68</v>
      </c>
      <c r="C6" s="1"/>
    </row>
    <row r="7" spans="1:19" x14ac:dyDescent="0.2">
      <c r="A7" s="1"/>
      <c r="B7" s="3"/>
      <c r="C7" s="1"/>
    </row>
    <row r="8" spans="1:19" x14ac:dyDescent="0.2">
      <c r="A8" s="26"/>
      <c r="B8" s="3"/>
    </row>
    <row r="9" spans="1:19" ht="53.25" customHeight="1" x14ac:dyDescent="0.2">
      <c r="A9" s="30" t="s">
        <v>1</v>
      </c>
      <c r="B9" s="31" t="s">
        <v>0</v>
      </c>
      <c r="C9" s="15" t="s">
        <v>20</v>
      </c>
      <c r="D9" s="15" t="s">
        <v>21</v>
      </c>
      <c r="E9" s="15" t="s">
        <v>22</v>
      </c>
      <c r="F9" s="15" t="s">
        <v>23</v>
      </c>
      <c r="G9" s="15" t="s">
        <v>12</v>
      </c>
      <c r="H9" s="15" t="s">
        <v>24</v>
      </c>
      <c r="I9" s="15" t="s">
        <v>56</v>
      </c>
      <c r="J9" s="15" t="s">
        <v>25</v>
      </c>
      <c r="K9" s="24" t="s">
        <v>58</v>
      </c>
      <c r="L9" s="15" t="s">
        <v>26</v>
      </c>
      <c r="M9" s="15" t="s">
        <v>16</v>
      </c>
      <c r="N9" s="15" t="s">
        <v>17</v>
      </c>
      <c r="O9" s="15" t="s">
        <v>61</v>
      </c>
      <c r="P9" s="15" t="s">
        <v>29</v>
      </c>
      <c r="Q9" s="15" t="s">
        <v>27</v>
      </c>
      <c r="R9" s="15" t="s">
        <v>53</v>
      </c>
      <c r="S9" s="15" t="s">
        <v>19</v>
      </c>
    </row>
    <row r="10" spans="1:19" ht="21" customHeight="1" x14ac:dyDescent="0.25">
      <c r="A10" s="19"/>
      <c r="B10" s="4" t="s">
        <v>67</v>
      </c>
      <c r="C10" s="25">
        <v>34</v>
      </c>
      <c r="D10" s="73">
        <v>94</v>
      </c>
      <c r="E10" s="73">
        <v>136</v>
      </c>
      <c r="F10" s="73">
        <v>18</v>
      </c>
      <c r="G10" s="73">
        <v>24</v>
      </c>
      <c r="H10" s="73">
        <v>26</v>
      </c>
      <c r="I10" s="73">
        <v>40</v>
      </c>
      <c r="J10" s="73">
        <v>14</v>
      </c>
      <c r="K10" s="73">
        <v>43</v>
      </c>
      <c r="L10" s="73">
        <v>23</v>
      </c>
      <c r="M10" s="73">
        <v>4</v>
      </c>
      <c r="N10" s="73">
        <v>12</v>
      </c>
      <c r="O10" s="73">
        <v>38</v>
      </c>
      <c r="P10" s="73">
        <v>26</v>
      </c>
      <c r="Q10" s="73">
        <v>45</v>
      </c>
      <c r="R10" s="73">
        <v>10</v>
      </c>
      <c r="S10" s="51">
        <f>C10+D10+E10+F10+G10+H10+J10+L10+M10+N10+P10+Q10+R10+I10+K10+O10</f>
        <v>587</v>
      </c>
    </row>
    <row r="11" spans="1:19" ht="26.25" customHeight="1" x14ac:dyDescent="0.25">
      <c r="A11" s="86" t="s">
        <v>69</v>
      </c>
      <c r="B11" s="87"/>
      <c r="C11" s="87"/>
      <c r="D11" s="87"/>
      <c r="E11" s="87"/>
      <c r="F11" s="87"/>
      <c r="S11" s="38"/>
    </row>
    <row r="12" spans="1:19" ht="39" x14ac:dyDescent="0.25">
      <c r="A12" s="7">
        <v>1100</v>
      </c>
      <c r="B12" s="2" t="s">
        <v>39</v>
      </c>
      <c r="C12" s="47">
        <v>22410.22</v>
      </c>
      <c r="D12" s="47">
        <v>46886.239999999998</v>
      </c>
      <c r="E12" s="47">
        <v>65956.5</v>
      </c>
      <c r="F12" s="47">
        <v>10633.794146341463</v>
      </c>
      <c r="G12" s="47">
        <v>13558.694736842104</v>
      </c>
      <c r="H12" s="47">
        <v>15678.074285714285</v>
      </c>
      <c r="I12" s="47">
        <v>32182.37</v>
      </c>
      <c r="J12" s="47">
        <v>9835.3446153846162</v>
      </c>
      <c r="K12" s="47">
        <v>44782.68</v>
      </c>
      <c r="L12" s="47">
        <v>17345.312000000002</v>
      </c>
      <c r="M12" s="47">
        <v>4224.7120000000004</v>
      </c>
      <c r="N12" s="47">
        <v>8316.2129999999997</v>
      </c>
      <c r="O12" s="47">
        <v>38845.18</v>
      </c>
      <c r="P12" s="47">
        <v>14864.975593220339</v>
      </c>
      <c r="Q12" s="47">
        <v>40095.328378378377</v>
      </c>
      <c r="R12" s="47">
        <v>6578.8227272727272</v>
      </c>
      <c r="S12" s="46">
        <f t="shared" ref="S12:S32" si="0">C12+D12+E12+F12+G12+H12+J12+L12+M12+N12+P12+Q12+R12+I12+K12+O12</f>
        <v>392194.46148315386</v>
      </c>
    </row>
    <row r="13" spans="1:19" ht="51.75" x14ac:dyDescent="0.25">
      <c r="A13" s="7">
        <v>1200</v>
      </c>
      <c r="B13" s="2" t="s">
        <v>41</v>
      </c>
      <c r="C13" s="47">
        <v>7062.39</v>
      </c>
      <c r="D13" s="47">
        <v>13461.59</v>
      </c>
      <c r="E13" s="47">
        <v>19423.560000000001</v>
      </c>
      <c r="F13" s="47">
        <v>2761.9356292682924</v>
      </c>
      <c r="G13" s="47">
        <v>3648.8839507368425</v>
      </c>
      <c r="H13" s="47">
        <v>4659.6265570129872</v>
      </c>
      <c r="I13" s="47">
        <v>8613.9599999999991</v>
      </c>
      <c r="J13" s="47">
        <v>2833.6021502564104</v>
      </c>
      <c r="K13" s="47">
        <v>15270.96</v>
      </c>
      <c r="L13" s="47">
        <v>5026.073264384615</v>
      </c>
      <c r="M13" s="47">
        <v>1139.9321600000001</v>
      </c>
      <c r="N13" s="47">
        <v>3073.7789699999998</v>
      </c>
      <c r="O13" s="47">
        <v>10911.03</v>
      </c>
      <c r="P13" s="47">
        <v>3807.3166987457621</v>
      </c>
      <c r="Q13" s="47">
        <v>11597.267868648649</v>
      </c>
      <c r="R13" s="47">
        <v>1699.3207499999999</v>
      </c>
      <c r="S13" s="46">
        <f t="shared" si="0"/>
        <v>114991.22799905355</v>
      </c>
    </row>
    <row r="14" spans="1:19" ht="39" x14ac:dyDescent="0.25">
      <c r="A14" s="7">
        <v>2100</v>
      </c>
      <c r="B14" s="2" t="s">
        <v>32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41.2</v>
      </c>
      <c r="P14" s="47">
        <v>0</v>
      </c>
      <c r="Q14" s="47">
        <v>0</v>
      </c>
      <c r="R14" s="47">
        <v>0</v>
      </c>
      <c r="S14" s="46">
        <f t="shared" si="0"/>
        <v>41.2</v>
      </c>
    </row>
    <row r="15" spans="1:19" ht="15" x14ac:dyDescent="0.25">
      <c r="A15" s="7">
        <v>2200</v>
      </c>
      <c r="B15" s="2" t="s">
        <v>40</v>
      </c>
      <c r="C15" s="47">
        <f>SUM(C16:C21)</f>
        <v>11917.099999999999</v>
      </c>
      <c r="D15" s="47">
        <f t="shared" ref="D15:R15" si="1">SUM(D16:D21)</f>
        <v>25381.010000000006</v>
      </c>
      <c r="E15" s="47">
        <f t="shared" si="1"/>
        <v>66867.28</v>
      </c>
      <c r="F15" s="47">
        <f t="shared" si="1"/>
        <v>6003.28</v>
      </c>
      <c r="G15" s="47">
        <f t="shared" si="1"/>
        <v>4712.3199999999988</v>
      </c>
      <c r="H15" s="47">
        <f t="shared" si="1"/>
        <v>14063.960000000001</v>
      </c>
      <c r="I15" s="47">
        <f t="shared" si="1"/>
        <v>14183.74</v>
      </c>
      <c r="J15" s="47">
        <f t="shared" si="1"/>
        <v>4311.55</v>
      </c>
      <c r="K15" s="47">
        <f t="shared" si="1"/>
        <v>28756.92</v>
      </c>
      <c r="L15" s="47">
        <f t="shared" si="1"/>
        <v>9309.6799999999985</v>
      </c>
      <c r="M15" s="47">
        <f t="shared" si="1"/>
        <v>2045.92</v>
      </c>
      <c r="N15" s="47">
        <f t="shared" si="1"/>
        <v>6224.72</v>
      </c>
      <c r="O15" s="47">
        <f t="shared" si="1"/>
        <v>20428.72</v>
      </c>
      <c r="P15" s="47">
        <f t="shared" si="1"/>
        <v>8929.6999999999989</v>
      </c>
      <c r="Q15" s="47">
        <f t="shared" si="1"/>
        <v>22276.36</v>
      </c>
      <c r="R15" s="47">
        <f t="shared" si="1"/>
        <v>3879.9500000000003</v>
      </c>
      <c r="S15" s="46">
        <f t="shared" si="0"/>
        <v>249292.21</v>
      </c>
    </row>
    <row r="16" spans="1:19" ht="15" x14ac:dyDescent="0.25">
      <c r="A16" s="8">
        <v>2210</v>
      </c>
      <c r="B16" s="4" t="s">
        <v>2</v>
      </c>
      <c r="C16" s="49">
        <v>231.69</v>
      </c>
      <c r="D16" s="49">
        <v>244.06</v>
      </c>
      <c r="E16" s="49">
        <v>399.9</v>
      </c>
      <c r="F16" s="49">
        <v>51.06</v>
      </c>
      <c r="G16" s="49">
        <v>199.5</v>
      </c>
      <c r="H16" s="49">
        <v>137.04</v>
      </c>
      <c r="I16" s="49">
        <v>511.39</v>
      </c>
      <c r="J16" s="49">
        <v>102.57</v>
      </c>
      <c r="K16" s="49">
        <v>947.26</v>
      </c>
      <c r="L16" s="49">
        <v>238.18</v>
      </c>
      <c r="M16" s="49">
        <v>13.57</v>
      </c>
      <c r="N16" s="49">
        <v>176.14</v>
      </c>
      <c r="O16" s="49">
        <v>271.47000000000003</v>
      </c>
      <c r="P16" s="49">
        <v>200.19</v>
      </c>
      <c r="Q16" s="49">
        <v>303.43</v>
      </c>
      <c r="R16" s="49">
        <v>0</v>
      </c>
      <c r="S16" s="46">
        <f t="shared" si="0"/>
        <v>4027.45</v>
      </c>
    </row>
    <row r="17" spans="1:19" ht="15" x14ac:dyDescent="0.25">
      <c r="A17" s="8">
        <v>2220</v>
      </c>
      <c r="B17" s="4" t="s">
        <v>3</v>
      </c>
      <c r="C17" s="49">
        <v>8340.7999999999993</v>
      </c>
      <c r="D17" s="49">
        <v>21101.08</v>
      </c>
      <c r="E17" s="49">
        <v>45692.47</v>
      </c>
      <c r="F17" s="49">
        <v>5199.6099999999997</v>
      </c>
      <c r="G17" s="49">
        <v>4086.64</v>
      </c>
      <c r="H17" s="49">
        <v>12238.32</v>
      </c>
      <c r="I17" s="49">
        <v>10655.9</v>
      </c>
      <c r="J17" s="49">
        <v>3635.55</v>
      </c>
      <c r="K17" s="49">
        <v>21118.65</v>
      </c>
      <c r="L17" s="49">
        <v>7846.13</v>
      </c>
      <c r="M17" s="49">
        <v>1360.22</v>
      </c>
      <c r="N17" s="49">
        <v>5766.42</v>
      </c>
      <c r="O17" s="49">
        <v>18877.75</v>
      </c>
      <c r="P17" s="49">
        <v>8012.06</v>
      </c>
      <c r="Q17" s="49">
        <v>7643.62</v>
      </c>
      <c r="R17" s="49">
        <v>3845.63</v>
      </c>
      <c r="S17" s="46">
        <f t="shared" si="0"/>
        <v>185420.85</v>
      </c>
    </row>
    <row r="18" spans="1:19" ht="26.25" x14ac:dyDescent="0.25">
      <c r="A18" s="8">
        <v>2230</v>
      </c>
      <c r="B18" s="4" t="s">
        <v>4</v>
      </c>
      <c r="C18" s="49">
        <v>319.64</v>
      </c>
      <c r="D18" s="49">
        <v>1088.49</v>
      </c>
      <c r="E18" s="49">
        <v>1300.57</v>
      </c>
      <c r="F18" s="49">
        <v>155.19999999999999</v>
      </c>
      <c r="G18" s="49">
        <v>116</v>
      </c>
      <c r="H18" s="49">
        <v>18.39</v>
      </c>
      <c r="I18" s="49">
        <v>524.92999999999995</v>
      </c>
      <c r="J18" s="49">
        <v>107.33</v>
      </c>
      <c r="K18" s="49">
        <v>1178.3699999999999</v>
      </c>
      <c r="L18" s="49">
        <v>432.18</v>
      </c>
      <c r="M18" s="49">
        <v>400.67</v>
      </c>
      <c r="N18" s="49">
        <v>28.2</v>
      </c>
      <c r="O18" s="49">
        <v>420.68</v>
      </c>
      <c r="P18" s="49">
        <v>184.33</v>
      </c>
      <c r="Q18" s="49">
        <v>518.28</v>
      </c>
      <c r="R18" s="49">
        <v>0</v>
      </c>
      <c r="S18" s="46">
        <f t="shared" si="0"/>
        <v>6793.2599999999993</v>
      </c>
    </row>
    <row r="19" spans="1:19" ht="26.25" x14ac:dyDescent="0.25">
      <c r="A19" s="8">
        <v>2240</v>
      </c>
      <c r="B19" s="4" t="s">
        <v>33</v>
      </c>
      <c r="C19" s="49">
        <v>2485.42</v>
      </c>
      <c r="D19" s="49">
        <v>2744.63</v>
      </c>
      <c r="E19" s="49">
        <v>19474.34</v>
      </c>
      <c r="F19" s="49">
        <v>403.27</v>
      </c>
      <c r="G19" s="49">
        <v>306.57</v>
      </c>
      <c r="H19" s="49">
        <v>1272.28</v>
      </c>
      <c r="I19" s="49">
        <v>2122.21</v>
      </c>
      <c r="J19" s="49">
        <v>215.43</v>
      </c>
      <c r="K19" s="49">
        <v>4991.78</v>
      </c>
      <c r="L19" s="49">
        <v>653.04</v>
      </c>
      <c r="M19" s="49">
        <v>265.01</v>
      </c>
      <c r="N19" s="49">
        <v>253.96</v>
      </c>
      <c r="O19" s="49">
        <v>677.93</v>
      </c>
      <c r="P19" s="49">
        <v>274.57</v>
      </c>
      <c r="Q19" s="49">
        <v>13092.17</v>
      </c>
      <c r="R19" s="49">
        <v>34.32</v>
      </c>
      <c r="S19" s="46">
        <f t="shared" si="0"/>
        <v>49266.929999999993</v>
      </c>
    </row>
    <row r="20" spans="1:19" ht="15" x14ac:dyDescent="0.25">
      <c r="A20" s="8">
        <v>2250</v>
      </c>
      <c r="B20" s="4" t="s">
        <v>5</v>
      </c>
      <c r="C20" s="49">
        <v>133.13</v>
      </c>
      <c r="D20" s="49">
        <v>0</v>
      </c>
      <c r="E20" s="49">
        <v>0</v>
      </c>
      <c r="F20" s="49">
        <v>181.97</v>
      </c>
      <c r="G20" s="49">
        <v>0</v>
      </c>
      <c r="H20" s="49">
        <v>117.67</v>
      </c>
      <c r="I20" s="49">
        <v>369.31</v>
      </c>
      <c r="J20" s="49">
        <v>132.27000000000001</v>
      </c>
      <c r="K20" s="49">
        <v>520.86</v>
      </c>
      <c r="L20" s="49">
        <v>140.15</v>
      </c>
      <c r="M20" s="49">
        <v>0</v>
      </c>
      <c r="N20" s="49">
        <v>0</v>
      </c>
      <c r="O20" s="49">
        <v>159.55000000000001</v>
      </c>
      <c r="P20" s="49">
        <v>153.57</v>
      </c>
      <c r="Q20" s="49">
        <v>141.28</v>
      </c>
      <c r="R20" s="49">
        <v>0</v>
      </c>
      <c r="S20" s="46">
        <f t="shared" si="0"/>
        <v>2049.7600000000002</v>
      </c>
    </row>
    <row r="21" spans="1:19" ht="15" x14ac:dyDescent="0.25">
      <c r="A21" s="8">
        <v>2260</v>
      </c>
      <c r="B21" s="4" t="s">
        <v>34</v>
      </c>
      <c r="C21" s="49">
        <v>406.42</v>
      </c>
      <c r="D21" s="49">
        <v>202.75</v>
      </c>
      <c r="E21" s="49">
        <v>0</v>
      </c>
      <c r="F21" s="49">
        <v>12.17</v>
      </c>
      <c r="G21" s="49">
        <v>3.61</v>
      </c>
      <c r="H21" s="49">
        <v>280.26</v>
      </c>
      <c r="I21" s="49">
        <v>0</v>
      </c>
      <c r="J21" s="49">
        <v>118.4</v>
      </c>
      <c r="K21" s="49">
        <v>0</v>
      </c>
      <c r="L21" s="49">
        <v>0</v>
      </c>
      <c r="M21" s="49">
        <v>6.45</v>
      </c>
      <c r="N21" s="49">
        <v>0</v>
      </c>
      <c r="O21" s="49">
        <v>21.34</v>
      </c>
      <c r="P21" s="49">
        <v>104.98</v>
      </c>
      <c r="Q21" s="49">
        <v>577.58000000000004</v>
      </c>
      <c r="R21" s="49">
        <v>0</v>
      </c>
      <c r="S21" s="46">
        <f t="shared" si="0"/>
        <v>1733.9599999999998</v>
      </c>
    </row>
    <row r="22" spans="1:19" ht="26.25" x14ac:dyDescent="0.25">
      <c r="A22" s="7">
        <v>2300</v>
      </c>
      <c r="B22" s="2" t="s">
        <v>35</v>
      </c>
      <c r="C22" s="47">
        <f>SUM(C23:C29)</f>
        <v>10234.27</v>
      </c>
      <c r="D22" s="47">
        <f t="shared" ref="D22:R22" si="2">SUM(D23:D29)</f>
        <v>24164.89</v>
      </c>
      <c r="E22" s="47">
        <f t="shared" si="2"/>
        <v>28209.09</v>
      </c>
      <c r="F22" s="47">
        <f t="shared" si="2"/>
        <v>4466.17</v>
      </c>
      <c r="G22" s="47">
        <f t="shared" si="2"/>
        <v>5437.61</v>
      </c>
      <c r="H22" s="47">
        <f t="shared" si="2"/>
        <v>5613.34</v>
      </c>
      <c r="I22" s="47">
        <f t="shared" si="2"/>
        <v>12832.09</v>
      </c>
      <c r="J22" s="47">
        <f t="shared" si="2"/>
        <v>2710.8500000000004</v>
      </c>
      <c r="K22" s="47">
        <f t="shared" si="2"/>
        <v>9435.7599999999984</v>
      </c>
      <c r="L22" s="47">
        <f t="shared" si="2"/>
        <v>5813.67</v>
      </c>
      <c r="M22" s="47">
        <f t="shared" si="2"/>
        <v>3388.22</v>
      </c>
      <c r="N22" s="47">
        <f t="shared" si="2"/>
        <v>2727.4500000000003</v>
      </c>
      <c r="O22" s="47">
        <f t="shared" si="2"/>
        <v>8929.630000000001</v>
      </c>
      <c r="P22" s="47">
        <f t="shared" si="2"/>
        <v>9234.41</v>
      </c>
      <c r="Q22" s="47">
        <f t="shared" si="2"/>
        <v>22379.75</v>
      </c>
      <c r="R22" s="47">
        <f t="shared" si="2"/>
        <v>5013.7800000000007</v>
      </c>
      <c r="S22" s="46">
        <f t="shared" si="0"/>
        <v>160590.98000000001</v>
      </c>
    </row>
    <row r="23" spans="1:19" ht="15" x14ac:dyDescent="0.25">
      <c r="A23" s="10">
        <v>2310</v>
      </c>
      <c r="B23" s="4" t="s">
        <v>36</v>
      </c>
      <c r="C23" s="49">
        <v>733.96</v>
      </c>
      <c r="D23" s="49">
        <v>438.48</v>
      </c>
      <c r="E23" s="49">
        <v>2320.2399999999998</v>
      </c>
      <c r="F23" s="49">
        <v>307.74</v>
      </c>
      <c r="G23" s="49">
        <v>406.94</v>
      </c>
      <c r="H23" s="49">
        <v>358.38</v>
      </c>
      <c r="I23" s="49">
        <v>1859.53</v>
      </c>
      <c r="J23" s="49">
        <v>84.32</v>
      </c>
      <c r="K23" s="49">
        <v>1554.03</v>
      </c>
      <c r="L23" s="49">
        <v>596.49</v>
      </c>
      <c r="M23" s="49">
        <v>190.45</v>
      </c>
      <c r="N23" s="49">
        <v>354.48</v>
      </c>
      <c r="O23" s="49">
        <v>748.9</v>
      </c>
      <c r="P23" s="49">
        <v>1313.14</v>
      </c>
      <c r="Q23" s="49">
        <v>1425.33</v>
      </c>
      <c r="R23" s="49">
        <v>35.869999999999997</v>
      </c>
      <c r="S23" s="46">
        <f t="shared" si="0"/>
        <v>12728.280000000002</v>
      </c>
    </row>
    <row r="24" spans="1:19" ht="26.25" x14ac:dyDescent="0.25">
      <c r="A24" s="10">
        <v>2320</v>
      </c>
      <c r="B24" s="4" t="s">
        <v>6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2405.9899999999998</v>
      </c>
      <c r="N24" s="49">
        <v>0</v>
      </c>
      <c r="O24" s="49">
        <v>0</v>
      </c>
      <c r="P24" s="49">
        <v>0</v>
      </c>
      <c r="Q24" s="78">
        <v>8898.85</v>
      </c>
      <c r="R24" s="49">
        <v>2934.8</v>
      </c>
      <c r="S24" s="46">
        <f t="shared" si="0"/>
        <v>14239.64</v>
      </c>
    </row>
    <row r="25" spans="1:19" ht="26.25" x14ac:dyDescent="0.25">
      <c r="A25" s="10">
        <v>2340</v>
      </c>
      <c r="B25" s="4" t="s">
        <v>37</v>
      </c>
      <c r="C25" s="49">
        <v>10.62</v>
      </c>
      <c r="D25" s="49">
        <v>26.12</v>
      </c>
      <c r="E25" s="49">
        <v>77.69</v>
      </c>
      <c r="F25" s="49">
        <v>0</v>
      </c>
      <c r="G25" s="49">
        <v>12.94</v>
      </c>
      <c r="H25" s="49">
        <v>0</v>
      </c>
      <c r="I25" s="49">
        <v>10.53</v>
      </c>
      <c r="J25" s="49">
        <v>0</v>
      </c>
      <c r="K25" s="49">
        <v>0</v>
      </c>
      <c r="L25" s="49">
        <v>0</v>
      </c>
      <c r="M25" s="49">
        <v>0</v>
      </c>
      <c r="N25" s="49">
        <v>15.86</v>
      </c>
      <c r="O25" s="49">
        <v>0</v>
      </c>
      <c r="P25" s="49">
        <v>21.59</v>
      </c>
      <c r="Q25" s="49">
        <v>0</v>
      </c>
      <c r="R25" s="49">
        <v>0</v>
      </c>
      <c r="S25" s="46">
        <f t="shared" si="0"/>
        <v>175.35000000000002</v>
      </c>
    </row>
    <row r="26" spans="1:19" ht="15" x14ac:dyDescent="0.25">
      <c r="A26" s="10">
        <v>2350</v>
      </c>
      <c r="B26" s="4" t="s">
        <v>7</v>
      </c>
      <c r="C26" s="49">
        <v>1810</v>
      </c>
      <c r="D26" s="49">
        <v>1445.88</v>
      </c>
      <c r="E26" s="49">
        <v>3054.35</v>
      </c>
      <c r="F26" s="49">
        <v>370.59</v>
      </c>
      <c r="G26" s="49">
        <v>646.97</v>
      </c>
      <c r="H26" s="49">
        <v>378</v>
      </c>
      <c r="I26" s="49">
        <v>1318.96</v>
      </c>
      <c r="J26" s="49">
        <v>353.79</v>
      </c>
      <c r="K26" s="49">
        <v>1153.04</v>
      </c>
      <c r="L26" s="49">
        <v>764.45</v>
      </c>
      <c r="M26" s="49">
        <v>156.09</v>
      </c>
      <c r="N26" s="49">
        <v>650.20000000000005</v>
      </c>
      <c r="O26" s="49">
        <v>1596.56</v>
      </c>
      <c r="P26" s="49">
        <v>1208.5899999999999</v>
      </c>
      <c r="Q26" s="49">
        <v>1746.76</v>
      </c>
      <c r="R26" s="49">
        <v>277.8</v>
      </c>
      <c r="S26" s="46">
        <f t="shared" si="0"/>
        <v>16932.030000000002</v>
      </c>
    </row>
    <row r="27" spans="1:19" ht="26.25" x14ac:dyDescent="0.25">
      <c r="A27" s="10">
        <v>2360</v>
      </c>
      <c r="B27" s="4" t="s">
        <v>38</v>
      </c>
      <c r="C27" s="49">
        <v>210.28</v>
      </c>
      <c r="D27" s="49">
        <v>15.32</v>
      </c>
      <c r="E27" s="49">
        <v>161.99</v>
      </c>
      <c r="F27" s="49">
        <v>107.84</v>
      </c>
      <c r="G27" s="49">
        <v>13.72</v>
      </c>
      <c r="H27" s="49">
        <v>38.049999999999997</v>
      </c>
      <c r="I27" s="49">
        <v>338.71</v>
      </c>
      <c r="J27" s="49">
        <v>110.59</v>
      </c>
      <c r="K27" s="49">
        <v>0</v>
      </c>
      <c r="L27" s="49">
        <v>161.81</v>
      </c>
      <c r="M27" s="49">
        <v>0</v>
      </c>
      <c r="N27" s="49">
        <v>2.7</v>
      </c>
      <c r="O27" s="49">
        <v>0</v>
      </c>
      <c r="P27" s="49">
        <v>38.39</v>
      </c>
      <c r="Q27" s="49">
        <v>41.78</v>
      </c>
      <c r="R27" s="49">
        <v>0</v>
      </c>
      <c r="S27" s="46">
        <f t="shared" si="0"/>
        <v>1241.18</v>
      </c>
    </row>
    <row r="28" spans="1:19" ht="26.25" x14ac:dyDescent="0.25">
      <c r="A28" s="44">
        <v>2363</v>
      </c>
      <c r="B28" s="45" t="s">
        <v>55</v>
      </c>
      <c r="C28" s="50">
        <v>7469.41</v>
      </c>
      <c r="D28" s="50">
        <v>22239.09</v>
      </c>
      <c r="E28" s="50">
        <v>22594.82</v>
      </c>
      <c r="F28" s="50">
        <v>3676</v>
      </c>
      <c r="G28" s="50">
        <v>4357.04</v>
      </c>
      <c r="H28" s="50">
        <v>4838.91</v>
      </c>
      <c r="I28" s="50">
        <v>9304.36</v>
      </c>
      <c r="J28" s="50">
        <v>2087.15</v>
      </c>
      <c r="K28" s="50">
        <v>6724.69</v>
      </c>
      <c r="L28" s="50">
        <v>4290.92</v>
      </c>
      <c r="M28" s="50">
        <v>635.69000000000005</v>
      </c>
      <c r="N28" s="50">
        <v>1704.21</v>
      </c>
      <c r="O28" s="50">
        <v>5581.17</v>
      </c>
      <c r="P28" s="50">
        <v>6652.7</v>
      </c>
      <c r="Q28" s="50">
        <v>10267.030000000001</v>
      </c>
      <c r="R28" s="50">
        <v>1765.31</v>
      </c>
      <c r="S28" s="48">
        <f t="shared" si="0"/>
        <v>114188.5</v>
      </c>
    </row>
    <row r="29" spans="1:19" ht="15" x14ac:dyDescent="0.25">
      <c r="A29" s="10">
        <v>2370</v>
      </c>
      <c r="B29" s="4" t="s">
        <v>30</v>
      </c>
      <c r="C29" s="49">
        <v>0</v>
      </c>
      <c r="D29" s="49">
        <v>0</v>
      </c>
      <c r="E29" s="49">
        <v>0</v>
      </c>
      <c r="F29" s="49">
        <v>4</v>
      </c>
      <c r="G29" s="49">
        <v>0</v>
      </c>
      <c r="H29" s="49">
        <v>0</v>
      </c>
      <c r="I29" s="49">
        <v>0</v>
      </c>
      <c r="J29" s="49">
        <v>75</v>
      </c>
      <c r="K29" s="49">
        <v>4</v>
      </c>
      <c r="L29" s="49">
        <v>0</v>
      </c>
      <c r="M29" s="49">
        <v>0</v>
      </c>
      <c r="N29" s="49">
        <v>0</v>
      </c>
      <c r="O29" s="49">
        <v>1003</v>
      </c>
      <c r="P29" s="49">
        <v>0</v>
      </c>
      <c r="Q29" s="49">
        <v>0</v>
      </c>
      <c r="R29" s="49">
        <v>0</v>
      </c>
      <c r="S29" s="46">
        <f t="shared" si="0"/>
        <v>1086</v>
      </c>
    </row>
    <row r="30" spans="1:19" ht="15" x14ac:dyDescent="0.25">
      <c r="A30" s="9">
        <v>2400</v>
      </c>
      <c r="B30" s="2" t="s">
        <v>8</v>
      </c>
      <c r="C30" s="47">
        <v>0</v>
      </c>
      <c r="D30" s="47">
        <v>0</v>
      </c>
      <c r="E30" s="47">
        <v>104.91</v>
      </c>
      <c r="F30" s="47">
        <v>25.9</v>
      </c>
      <c r="G30" s="47">
        <v>0</v>
      </c>
      <c r="H30" s="47">
        <v>0</v>
      </c>
      <c r="I30" s="47">
        <v>0</v>
      </c>
      <c r="J30" s="47">
        <v>0</v>
      </c>
      <c r="K30" s="47">
        <v>69.64</v>
      </c>
      <c r="L30" s="47">
        <v>0</v>
      </c>
      <c r="M30" s="47">
        <v>0</v>
      </c>
      <c r="N30" s="47">
        <v>0</v>
      </c>
      <c r="O30" s="47">
        <v>0</v>
      </c>
      <c r="P30" s="47">
        <v>0</v>
      </c>
      <c r="Q30" s="47">
        <v>62.83</v>
      </c>
      <c r="R30" s="47">
        <v>0</v>
      </c>
      <c r="S30" s="46">
        <f t="shared" si="0"/>
        <v>263.27999999999997</v>
      </c>
    </row>
    <row r="31" spans="1:19" ht="15" x14ac:dyDescent="0.25">
      <c r="A31" s="9">
        <v>5233</v>
      </c>
      <c r="B31" s="2" t="s">
        <v>31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v>0</v>
      </c>
      <c r="P31" s="47">
        <v>0</v>
      </c>
      <c r="Q31" s="47">
        <v>0</v>
      </c>
      <c r="R31" s="47">
        <v>0</v>
      </c>
      <c r="S31" s="46">
        <f t="shared" si="0"/>
        <v>0</v>
      </c>
    </row>
    <row r="32" spans="1:19" ht="18" customHeight="1" x14ac:dyDescent="0.25">
      <c r="A32" s="81" t="s">
        <v>9</v>
      </c>
      <c r="B32" s="82"/>
      <c r="C32" s="59">
        <f>C12+C13+C14+C15+C22+C30+C31</f>
        <v>51623.979999999996</v>
      </c>
      <c r="D32" s="59">
        <f t="shared" ref="D32:E32" si="3">D12+D13+D14+D15+D22+D30+D31</f>
        <v>109893.73000000001</v>
      </c>
      <c r="E32" s="59">
        <f t="shared" si="3"/>
        <v>180561.34</v>
      </c>
      <c r="F32" s="59">
        <f t="shared" ref="F32:R32" si="4">F12+F13+F14+F15+F22+F30+F31</f>
        <v>23891.079775609753</v>
      </c>
      <c r="G32" s="59">
        <f t="shared" si="4"/>
        <v>27357.508687578946</v>
      </c>
      <c r="H32" s="59">
        <f t="shared" si="4"/>
        <v>40015.00084272727</v>
      </c>
      <c r="I32" s="59">
        <f t="shared" ref="I32:K32" si="5">I12+I13+I14+I15+I22+I30+I31</f>
        <v>67812.160000000003</v>
      </c>
      <c r="J32" s="59">
        <f t="shared" si="5"/>
        <v>19691.346765641028</v>
      </c>
      <c r="K32" s="59">
        <f t="shared" si="5"/>
        <v>98315.959999999992</v>
      </c>
      <c r="L32" s="59">
        <f t="shared" si="4"/>
        <v>37494.735264384617</v>
      </c>
      <c r="M32" s="59">
        <f t="shared" si="4"/>
        <v>10798.784160000001</v>
      </c>
      <c r="N32" s="59">
        <f t="shared" si="4"/>
        <v>20342.161970000001</v>
      </c>
      <c r="O32" s="59">
        <f t="shared" ref="O32" si="6">O12+O13+O14+O15+O22+O30+O31</f>
        <v>79155.760000000009</v>
      </c>
      <c r="P32" s="59">
        <f t="shared" si="4"/>
        <v>36836.402291966093</v>
      </c>
      <c r="Q32" s="59">
        <f t="shared" si="4"/>
        <v>96411.536247027034</v>
      </c>
      <c r="R32" s="59">
        <f t="shared" si="4"/>
        <v>17171.873477272726</v>
      </c>
      <c r="S32" s="59">
        <f t="shared" si="0"/>
        <v>917373.35948220745</v>
      </c>
    </row>
    <row r="33" spans="1:20" ht="30" customHeight="1" x14ac:dyDescent="0.25">
      <c r="A33" s="81" t="s">
        <v>74</v>
      </c>
      <c r="B33" s="85"/>
      <c r="C33" s="60">
        <f t="shared" ref="C33:S33" si="7">C32/12/C10</f>
        <v>126.52936274509803</v>
      </c>
      <c r="D33" s="60">
        <f t="shared" si="7"/>
        <v>97.423519503546117</v>
      </c>
      <c r="E33" s="60">
        <f t="shared" si="7"/>
        <v>110.63807598039216</v>
      </c>
      <c r="F33" s="60">
        <f t="shared" si="7"/>
        <v>110.60685081300811</v>
      </c>
      <c r="G33" s="60">
        <f t="shared" si="7"/>
        <v>94.991349609649106</v>
      </c>
      <c r="H33" s="60">
        <f t="shared" si="7"/>
        <v>128.25320782925408</v>
      </c>
      <c r="I33" s="60">
        <f t="shared" ref="I33:K33" si="8">I32/12/I10</f>
        <v>141.27533333333332</v>
      </c>
      <c r="J33" s="60">
        <f t="shared" si="8"/>
        <v>117.21039741452992</v>
      </c>
      <c r="K33" s="60">
        <f t="shared" si="8"/>
        <v>190.53480620155037</v>
      </c>
      <c r="L33" s="60">
        <f t="shared" si="7"/>
        <v>135.85049008835006</v>
      </c>
      <c r="M33" s="60">
        <f t="shared" si="7"/>
        <v>224.97467000000003</v>
      </c>
      <c r="N33" s="60">
        <f t="shared" si="7"/>
        <v>141.26501368055557</v>
      </c>
      <c r="O33" s="60">
        <f t="shared" ref="O33" si="9">O32/12/O10</f>
        <v>173.58719298245617</v>
      </c>
      <c r="P33" s="60">
        <f t="shared" si="7"/>
        <v>118.0653919614298</v>
      </c>
      <c r="Q33" s="60">
        <f t="shared" si="7"/>
        <v>178.53988193893895</v>
      </c>
      <c r="R33" s="60">
        <f t="shared" si="7"/>
        <v>143.09894564393937</v>
      </c>
      <c r="S33" s="60">
        <f t="shared" si="7"/>
        <v>130.23471883620206</v>
      </c>
    </row>
    <row r="35" spans="1:20" x14ac:dyDescent="0.2">
      <c r="B35" s="11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39"/>
      <c r="T35" s="14"/>
    </row>
    <row r="36" spans="1:20" x14ac:dyDescent="0.2">
      <c r="B36" s="17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39"/>
      <c r="T36" s="14"/>
    </row>
    <row r="37" spans="1:20" x14ac:dyDescent="0.2">
      <c r="B37" s="68"/>
    </row>
    <row r="38" spans="1:20" x14ac:dyDescent="0.2">
      <c r="C38" s="12"/>
      <c r="D38" s="12"/>
      <c r="E38" s="12"/>
      <c r="H38" s="14"/>
      <c r="I38" s="14"/>
    </row>
    <row r="40" spans="1:20" x14ac:dyDescent="0.2"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</row>
  </sheetData>
  <mergeCells count="7">
    <mergeCell ref="A32:B32"/>
    <mergeCell ref="A33:B33"/>
    <mergeCell ref="A11:F11"/>
    <mergeCell ref="Q1:S1"/>
    <mergeCell ref="Q2:S2"/>
    <mergeCell ref="Q3:S3"/>
    <mergeCell ref="Q4:S4"/>
  </mergeCells>
  <pageMargins left="0.25" right="0.25" top="0.75" bottom="0.75" header="0.3" footer="0.3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37"/>
  <sheetViews>
    <sheetView tabSelected="1" zoomScaleNormal="100" workbookViewId="0">
      <pane xSplit="2" topLeftCell="C1" activePane="topRight" state="frozen"/>
      <selection pane="topRight" activeCell="L2" sqref="L2"/>
    </sheetView>
  </sheetViews>
  <sheetFormatPr defaultRowHeight="12.75" x14ac:dyDescent="0.2"/>
  <cols>
    <col min="1" max="1" width="12.28515625" customWidth="1"/>
    <col min="2" max="2" width="53" customWidth="1"/>
    <col min="3" max="3" width="11.85546875" customWidth="1"/>
    <col min="4" max="4" width="10.7109375" customWidth="1"/>
    <col min="5" max="5" width="11.28515625" customWidth="1"/>
    <col min="6" max="6" width="9.5703125" customWidth="1"/>
    <col min="7" max="7" width="11.140625" customWidth="1"/>
    <col min="8" max="8" width="13.28515625" customWidth="1"/>
    <col min="9" max="9" width="12" customWidth="1"/>
    <col min="10" max="11" width="10.85546875" customWidth="1"/>
    <col min="12" max="12" width="10.7109375" customWidth="1"/>
    <col min="13" max="13" width="9.5703125" customWidth="1"/>
    <col min="14" max="14" width="9.7109375" customWidth="1"/>
    <col min="15" max="15" width="12.85546875" customWidth="1"/>
    <col min="16" max="16" width="13.28515625" customWidth="1"/>
    <col min="17" max="17" width="11.28515625" customWidth="1"/>
    <col min="18" max="18" width="11.42578125" customWidth="1"/>
    <col min="19" max="19" width="12.85546875" style="12" customWidth="1"/>
    <col min="20" max="20" width="9.140625" customWidth="1"/>
  </cols>
  <sheetData>
    <row r="1" spans="1:21" x14ac:dyDescent="0.2">
      <c r="Q1" s="80" t="s">
        <v>77</v>
      </c>
      <c r="R1" s="80"/>
      <c r="S1" s="80"/>
    </row>
    <row r="2" spans="1:21" x14ac:dyDescent="0.2">
      <c r="Q2" s="80" t="s">
        <v>78</v>
      </c>
      <c r="R2" s="84"/>
      <c r="S2" s="84"/>
    </row>
    <row r="3" spans="1:21" x14ac:dyDescent="0.2">
      <c r="Q3" s="80" t="s">
        <v>79</v>
      </c>
      <c r="R3" s="84"/>
      <c r="S3" s="84"/>
    </row>
    <row r="4" spans="1:21" x14ac:dyDescent="0.2">
      <c r="Q4" s="80" t="s">
        <v>76</v>
      </c>
      <c r="R4" s="84"/>
      <c r="S4" s="84"/>
    </row>
    <row r="5" spans="1:21" ht="15" x14ac:dyDescent="0.2">
      <c r="B5" s="6" t="s">
        <v>70</v>
      </c>
    </row>
    <row r="6" spans="1:21" x14ac:dyDescent="0.2">
      <c r="A6" s="1"/>
      <c r="B6" s="3" t="s">
        <v>68</v>
      </c>
      <c r="C6" s="1"/>
    </row>
    <row r="7" spans="1:21" x14ac:dyDescent="0.2">
      <c r="A7" s="1"/>
      <c r="B7" s="3"/>
      <c r="C7" s="1"/>
    </row>
    <row r="8" spans="1:21" x14ac:dyDescent="0.2">
      <c r="A8" s="26"/>
      <c r="B8" s="3"/>
    </row>
    <row r="9" spans="1:21" ht="53.25" customHeight="1" x14ac:dyDescent="0.2">
      <c r="A9" s="30" t="s">
        <v>1</v>
      </c>
      <c r="B9" s="31" t="s">
        <v>0</v>
      </c>
      <c r="C9" s="15" t="s">
        <v>20</v>
      </c>
      <c r="D9" s="15" t="s">
        <v>21</v>
      </c>
      <c r="E9" s="15" t="s">
        <v>22</v>
      </c>
      <c r="F9" s="15" t="s">
        <v>23</v>
      </c>
      <c r="G9" s="15" t="s">
        <v>12</v>
      </c>
      <c r="H9" s="15" t="s">
        <v>24</v>
      </c>
      <c r="I9" s="15" t="s">
        <v>56</v>
      </c>
      <c r="J9" s="15" t="s">
        <v>25</v>
      </c>
      <c r="K9" s="24" t="s">
        <v>58</v>
      </c>
      <c r="L9" s="15" t="s">
        <v>26</v>
      </c>
      <c r="M9" s="15" t="s">
        <v>63</v>
      </c>
      <c r="N9" s="15" t="s">
        <v>17</v>
      </c>
      <c r="O9" s="15" t="s">
        <v>61</v>
      </c>
      <c r="P9" s="15" t="s">
        <v>29</v>
      </c>
      <c r="Q9" s="15" t="s">
        <v>27</v>
      </c>
      <c r="R9" s="15" t="s">
        <v>53</v>
      </c>
      <c r="S9" s="15" t="s">
        <v>19</v>
      </c>
    </row>
    <row r="10" spans="1:21" ht="21" customHeight="1" x14ac:dyDescent="0.25">
      <c r="A10" s="19"/>
      <c r="B10" s="4" t="s">
        <v>67</v>
      </c>
      <c r="C10" s="25">
        <f>'bērni līdz 5 gadiem'!C10+'bērni no 5 gadu vec.'!C10</f>
        <v>89</v>
      </c>
      <c r="D10" s="25">
        <f>'bērni līdz 5 gadiem'!D10+'bērni no 5 gadu vec.'!D10</f>
        <v>221</v>
      </c>
      <c r="E10" s="25">
        <f>'bērni līdz 5 gadiem'!E10+'bērni no 5 gadu vec.'!E10</f>
        <v>315</v>
      </c>
      <c r="F10" s="25">
        <f>'bērni līdz 5 gadiem'!F10+'bērni no 5 gadu vec.'!F10</f>
        <v>41</v>
      </c>
      <c r="G10" s="25">
        <f>'bērni līdz 5 gadiem'!G10+'bērni no 5 gadu vec.'!G10</f>
        <v>57</v>
      </c>
      <c r="H10" s="25">
        <f>'bērni līdz 5 gadiem'!H10+'bērni no 5 gadu vec.'!H10</f>
        <v>77</v>
      </c>
      <c r="I10" s="25">
        <f>'bērni līdz 5 gadiem'!I10+'bērni no 5 gadu vec.'!I10</f>
        <v>102</v>
      </c>
      <c r="J10" s="25">
        <f>'bērni līdz 5 gadiem'!J10+'bērni no 5 gadu vec.'!J10</f>
        <v>39</v>
      </c>
      <c r="K10" s="25">
        <f>'bērni līdz 5 gadiem'!K10+'bērni no 5 gadu vec.'!K10</f>
        <v>113</v>
      </c>
      <c r="L10" s="25">
        <f>'bērni līdz 5 gadiem'!L10+'bērni no 5 gadu vec.'!L10</f>
        <v>65</v>
      </c>
      <c r="M10" s="25">
        <f>'bērni līdz 5 gadiem'!M10+'bērni no 5 gadu vec.'!M10</f>
        <v>15</v>
      </c>
      <c r="N10" s="25">
        <f>'bērni līdz 5 gadiem'!N10+'bērni no 5 gadu vec.'!N10</f>
        <v>40</v>
      </c>
      <c r="O10" s="25">
        <f>'bērni līdz 5 gadiem'!O10+'bērni no 5 gadu vec.'!O10</f>
        <v>83</v>
      </c>
      <c r="P10" s="25">
        <f>'bērni līdz 5 gadiem'!P10+'bērni no 5 gadu vec.'!P10</f>
        <v>59</v>
      </c>
      <c r="Q10" s="25">
        <f>'bērni līdz 5 gadiem'!Q10+'bērni no 5 gadu vec.'!Q10</f>
        <v>111</v>
      </c>
      <c r="R10" s="25">
        <f>'bērni līdz 5 gadiem'!R10+'bērni no 5 gadu vec.'!R10</f>
        <v>22</v>
      </c>
      <c r="S10" s="51">
        <f>C10+D10+E10+F10+G10+H10+J10+L10+M10+N10+P10+Q10+R10+I10+K10+O10</f>
        <v>1449</v>
      </c>
      <c r="U10" s="13"/>
    </row>
    <row r="11" spans="1:21" ht="26.25" customHeight="1" x14ac:dyDescent="0.25">
      <c r="A11" s="86" t="s">
        <v>62</v>
      </c>
      <c r="B11" s="87"/>
      <c r="C11" s="87"/>
      <c r="D11" s="87"/>
      <c r="E11" s="87"/>
      <c r="F11" s="87"/>
      <c r="S11" s="38"/>
    </row>
    <row r="12" spans="1:21" ht="39" x14ac:dyDescent="0.25">
      <c r="A12" s="7">
        <v>1100</v>
      </c>
      <c r="B12" s="2" t="s">
        <v>39</v>
      </c>
      <c r="C12" s="52">
        <f>'bērni līdz 5 gadiem'!C12+'bērni no 5 gadu vec.'!C12</f>
        <v>155156.09999999998</v>
      </c>
      <c r="D12" s="52">
        <f>'bērni līdz 5 gadiem'!D12+'bērni no 5 gadu vec.'!D12</f>
        <v>302335.95</v>
      </c>
      <c r="E12" s="52">
        <f>'bērni līdz 5 gadiem'!E12+'bērni no 5 gadu vec.'!E12</f>
        <v>396124.88</v>
      </c>
      <c r="F12" s="52">
        <f>'bērni līdz 5 gadiem'!F12+'bērni no 5 gadu vec.'!F12</f>
        <v>62108.549999999988</v>
      </c>
      <c r="G12" s="52">
        <f>'bērni līdz 5 gadiem'!G12+'bērni no 5 gadu vec.'!G12</f>
        <v>63490.13</v>
      </c>
      <c r="H12" s="52">
        <f>'bērni līdz 5 gadiem'!H12+'bērni no 5 gadu vec.'!H12</f>
        <v>126879.42000000001</v>
      </c>
      <c r="I12" s="52">
        <f>'bērni līdz 5 gadiem'!I12+'bērni no 5 gadu vec.'!I12</f>
        <v>184416.28</v>
      </c>
      <c r="J12" s="52">
        <f>'bērni līdz 5 gadiem'!J12+'bērni no 5 gadu vec.'!J12</f>
        <v>69502.350000000006</v>
      </c>
      <c r="K12" s="52">
        <f>'bērni līdz 5 gadiem'!K12+'bērni no 5 gadu vec.'!K12</f>
        <v>250356.21999999997</v>
      </c>
      <c r="L12" s="52">
        <f>'bērni līdz 5 gadiem'!L12+'bērni no 5 gadu vec.'!L12</f>
        <v>123746.60000000002</v>
      </c>
      <c r="M12" s="52">
        <f>'bērni līdz 5 gadiem'!M12+'bērni no 5 gadu vec.'!M12</f>
        <v>29617.66</v>
      </c>
      <c r="N12" s="52">
        <f>'bērni līdz 5 gadiem'!N12+'bērni no 5 gadu vec.'!N12</f>
        <v>76975.31</v>
      </c>
      <c r="O12" s="52">
        <f>'bērni līdz 5 gadiem'!O12+'bērni no 5 gadu vec.'!O12</f>
        <v>164823.31</v>
      </c>
      <c r="P12" s="52">
        <f>'bērni līdz 5 gadiem'!P12+'bērni no 5 gadu vec.'!P12</f>
        <v>95531.79</v>
      </c>
      <c r="Q12" s="52">
        <f>'bērni līdz 5 gadiem'!Q12+'bērni no 5 gadu vec.'!Q12</f>
        <v>223828.88</v>
      </c>
      <c r="R12" s="52">
        <f>'bērni līdz 5 gadiem'!R12+'bērni no 5 gadu vec.'!R12</f>
        <v>42847.039999999994</v>
      </c>
      <c r="S12" s="46">
        <f t="shared" ref="S12:S32" si="0">C12+D12+E12+F12+G12+H12+J12+L12+M12+N12+P12+Q12+R12+I12+K12+O12</f>
        <v>2367740.4700000002</v>
      </c>
    </row>
    <row r="13" spans="1:21" ht="51.75" x14ac:dyDescent="0.25">
      <c r="A13" s="7">
        <v>1200</v>
      </c>
      <c r="B13" s="2" t="s">
        <v>41</v>
      </c>
      <c r="C13" s="52">
        <f>'bērni līdz 5 gadiem'!C13+'bērni no 5 gadu vec.'!C13</f>
        <v>44275.439999999995</v>
      </c>
      <c r="D13" s="52">
        <f>'bērni līdz 5 gadiem'!D13+'bērni no 5 gadu vec.'!D13</f>
        <v>81495.59</v>
      </c>
      <c r="E13" s="52">
        <f>'bērni līdz 5 gadiem'!E13+'bērni no 5 gadu vec.'!E13</f>
        <v>105791.96</v>
      </c>
      <c r="F13" s="52">
        <f>'bērni līdz 5 gadiem'!F13+'bērni no 5 gadu vec.'!F13</f>
        <v>15492.349075999999</v>
      </c>
      <c r="G13" s="52">
        <f>'bērni līdz 5 gadiem'!G13+'bērni no 5 gadu vec.'!G13</f>
        <v>17126.515482999999</v>
      </c>
      <c r="H13" s="52">
        <f>'bērni līdz 5 gadiem'!H13+'bērni no 5 gadu vec.'!H13</f>
        <v>34523.165110000002</v>
      </c>
      <c r="I13" s="52">
        <f>'bērni līdz 5 gadiem'!I13+'bērni no 5 gadu vec.'!I13</f>
        <v>48159.509999999995</v>
      </c>
      <c r="J13" s="52">
        <f>'bērni līdz 5 gadiem'!J13+'bērni no 5 gadu vec.'!J13</f>
        <v>18878.971466000003</v>
      </c>
      <c r="K13" s="52">
        <f>'bērni līdz 5 gadiem'!K13+'bērni no 5 gadu vec.'!K13</f>
        <v>73933.149999999994</v>
      </c>
      <c r="L13" s="52">
        <f>'bērni līdz 5 gadiem'!L13+'bērni no 5 gadu vec.'!L13</f>
        <v>33503.364939999999</v>
      </c>
      <c r="M13" s="52">
        <f>'bērni līdz 5 gadiem'!M13+'bērni no 5 gadu vec.'!M13</f>
        <v>8007.5456000000004</v>
      </c>
      <c r="N13" s="52">
        <f>'bērni līdz 5 gadiem'!N13+'bērni no 5 gadu vec.'!N13</f>
        <v>28011.009900000001</v>
      </c>
      <c r="O13" s="52">
        <f>'bērni līdz 5 gadiem'!O13+'bērni no 5 gadu vec.'!O13</f>
        <v>43589.95</v>
      </c>
      <c r="P13" s="52">
        <f>'bērni līdz 5 gadiem'!P13+'bērni no 5 gadu vec.'!P13</f>
        <v>24805.764478000001</v>
      </c>
      <c r="Q13" s="52">
        <f>'bērni līdz 5 gadiem'!Q13+'bērni no 5 gadu vec.'!Q13</f>
        <v>60045.324248000004</v>
      </c>
      <c r="R13" s="52">
        <f>'bērni līdz 5 gadiem'!R13+'bērni no 5 gadu vec.'!R13</f>
        <v>11122.507396000001</v>
      </c>
      <c r="S13" s="46">
        <f t="shared" si="0"/>
        <v>648762.11769700004</v>
      </c>
    </row>
    <row r="14" spans="1:21" ht="39" x14ac:dyDescent="0.25">
      <c r="A14" s="7">
        <v>2100</v>
      </c>
      <c r="B14" s="2" t="s">
        <v>32</v>
      </c>
      <c r="C14" s="52">
        <f>'bērni līdz 5 gadiem'!C14+'bērni no 5 gadu vec.'!C14</f>
        <v>0</v>
      </c>
      <c r="D14" s="52">
        <f>'bērni līdz 5 gadiem'!D14+'bērni no 5 gadu vec.'!D14</f>
        <v>0</v>
      </c>
      <c r="E14" s="52">
        <f>'bērni līdz 5 gadiem'!E14+'bērni no 5 gadu vec.'!E14</f>
        <v>0</v>
      </c>
      <c r="F14" s="52">
        <f>'bērni līdz 5 gadiem'!F14+'bērni no 5 gadu vec.'!F14</f>
        <v>0</v>
      </c>
      <c r="G14" s="52">
        <f>'bērni līdz 5 gadiem'!G14+'bērni no 5 gadu vec.'!G14</f>
        <v>0</v>
      </c>
      <c r="H14" s="52">
        <f>'bērni līdz 5 gadiem'!H14+'bērni no 5 gadu vec.'!H14</f>
        <v>0</v>
      </c>
      <c r="I14" s="52">
        <f>'bērni līdz 5 gadiem'!I14+'bērni no 5 gadu vec.'!I14</f>
        <v>0</v>
      </c>
      <c r="J14" s="52">
        <f>'bērni līdz 5 gadiem'!J14+'bērni no 5 gadu vec.'!J14</f>
        <v>0</v>
      </c>
      <c r="K14" s="52">
        <f>'bērni līdz 5 gadiem'!K14+'bērni no 5 gadu vec.'!K14</f>
        <v>0</v>
      </c>
      <c r="L14" s="52">
        <f>'bērni līdz 5 gadiem'!L14+'bērni no 5 gadu vec.'!L14</f>
        <v>0</v>
      </c>
      <c r="M14" s="52">
        <f>'bērni līdz 5 gadiem'!M14+'bērni no 5 gadu vec.'!M14</f>
        <v>0</v>
      </c>
      <c r="N14" s="52">
        <f>'bērni līdz 5 gadiem'!N14+'bērni no 5 gadu vec.'!N14</f>
        <v>0</v>
      </c>
      <c r="O14" s="52">
        <f>'bērni līdz 5 gadiem'!O14+'bērni no 5 gadu vec.'!O14</f>
        <v>90</v>
      </c>
      <c r="P14" s="52">
        <f>'bērni līdz 5 gadiem'!P14+'bērni no 5 gadu vec.'!P14</f>
        <v>0</v>
      </c>
      <c r="Q14" s="52">
        <f>'bērni līdz 5 gadiem'!Q14+'bērni no 5 gadu vec.'!Q14</f>
        <v>0</v>
      </c>
      <c r="R14" s="52">
        <f>'bērni līdz 5 gadiem'!R14+'bērni no 5 gadu vec.'!R14</f>
        <v>0</v>
      </c>
      <c r="S14" s="46">
        <f t="shared" si="0"/>
        <v>90</v>
      </c>
    </row>
    <row r="15" spans="1:21" ht="15" x14ac:dyDescent="0.25">
      <c r="A15" s="7">
        <v>2200</v>
      </c>
      <c r="B15" s="2" t="s">
        <v>40</v>
      </c>
      <c r="C15" s="47">
        <f t="shared" ref="C15:F15" si="1">SUM(C16:C21)</f>
        <v>31194.749999999996</v>
      </c>
      <c r="D15" s="47">
        <f t="shared" si="1"/>
        <v>59672.38</v>
      </c>
      <c r="E15" s="47">
        <f t="shared" si="1"/>
        <v>154876.41000000003</v>
      </c>
      <c r="F15" s="47">
        <f t="shared" si="1"/>
        <v>13674.139999999998</v>
      </c>
      <c r="G15" s="47">
        <f t="shared" ref="G15:R15" si="2">SUM(G16:G21)</f>
        <v>11191.77</v>
      </c>
      <c r="H15" s="47">
        <f t="shared" si="2"/>
        <v>41650.93</v>
      </c>
      <c r="I15" s="47">
        <f t="shared" si="2"/>
        <v>36168.520000000011</v>
      </c>
      <c r="J15" s="47">
        <f t="shared" si="2"/>
        <v>12010.759999999998</v>
      </c>
      <c r="K15" s="47">
        <f t="shared" si="2"/>
        <v>75570.510000000009</v>
      </c>
      <c r="L15" s="47">
        <f t="shared" si="2"/>
        <v>26309.97</v>
      </c>
      <c r="M15" s="47">
        <f t="shared" si="2"/>
        <v>7672.19</v>
      </c>
      <c r="N15" s="47">
        <f t="shared" si="2"/>
        <v>20749.07</v>
      </c>
      <c r="O15" s="47">
        <f t="shared" si="2"/>
        <v>44620.640000000007</v>
      </c>
      <c r="P15" s="47">
        <f t="shared" si="2"/>
        <v>20263.54</v>
      </c>
      <c r="Q15" s="47">
        <f t="shared" si="2"/>
        <v>54948.350000000006</v>
      </c>
      <c r="R15" s="47">
        <f t="shared" si="2"/>
        <v>8535.880000000001</v>
      </c>
      <c r="S15" s="46">
        <f t="shared" si="0"/>
        <v>619109.81000000006</v>
      </c>
    </row>
    <row r="16" spans="1:21" ht="15" x14ac:dyDescent="0.25">
      <c r="A16" s="8">
        <v>2210</v>
      </c>
      <c r="B16" s="4" t="s">
        <v>2</v>
      </c>
      <c r="C16" s="49">
        <f>'bērni līdz 5 gadiem'!C16+'bērni no 5 gadu vec.'!C16</f>
        <v>606.48</v>
      </c>
      <c r="D16" s="49">
        <f>'bērni līdz 5 gadiem'!D16+'bērni no 5 gadu vec.'!D16</f>
        <v>573.80999999999995</v>
      </c>
      <c r="E16" s="49">
        <f>'bērni līdz 5 gadiem'!E16+'bērni no 5 gadu vec.'!E16</f>
        <v>926.24</v>
      </c>
      <c r="F16" s="49">
        <f>'bērni līdz 5 gadiem'!F16+'bērni no 5 gadu vec.'!F16</f>
        <v>116.31</v>
      </c>
      <c r="G16" s="49">
        <f>'bērni līdz 5 gadiem'!G16+'bērni no 5 gadu vec.'!G16</f>
        <v>473.82</v>
      </c>
      <c r="H16" s="49">
        <f>'bērni līdz 5 gadiem'!H16+'bērni no 5 gadu vec.'!H16</f>
        <v>405.84000000000003</v>
      </c>
      <c r="I16" s="49">
        <f>'bērni līdz 5 gadiem'!I16+'bērni no 5 gadu vec.'!I16</f>
        <v>1304.04</v>
      </c>
      <c r="J16" s="49">
        <f>'bērni līdz 5 gadiem'!J16+'bērni no 5 gadu vec.'!J16</f>
        <v>285.73</v>
      </c>
      <c r="K16" s="49">
        <f>'bērni līdz 5 gadiem'!K16+'bērni no 5 gadu vec.'!K16</f>
        <v>2489.3000000000002</v>
      </c>
      <c r="L16" s="49">
        <f>'bērni līdz 5 gadiem'!L16+'bērni no 5 gadu vec.'!L16</f>
        <v>673.11</v>
      </c>
      <c r="M16" s="49">
        <f>'bērni līdz 5 gadiem'!M16+'bērni no 5 gadu vec.'!M16</f>
        <v>50.88</v>
      </c>
      <c r="N16" s="49">
        <f>'bērni līdz 5 gadiem'!N16+'bērni no 5 gadu vec.'!N16</f>
        <v>587.13</v>
      </c>
      <c r="O16" s="49">
        <f>'bērni līdz 5 gadiem'!O16+'bērni no 5 gadu vec.'!O16</f>
        <v>592.95000000000005</v>
      </c>
      <c r="P16" s="49">
        <f>'bērni līdz 5 gadiem'!P16+'bērni no 5 gadu vec.'!P16</f>
        <v>454.27</v>
      </c>
      <c r="Q16" s="49">
        <f>'bērni līdz 5 gadiem'!Q16+'bērni no 5 gadu vec.'!Q16</f>
        <v>748.47</v>
      </c>
      <c r="R16" s="49">
        <f>'bērni līdz 5 gadiem'!R16+'bērni no 5 gadu vec.'!R16</f>
        <v>0</v>
      </c>
      <c r="S16" s="46">
        <f t="shared" si="0"/>
        <v>10288.380000000001</v>
      </c>
    </row>
    <row r="17" spans="1:21" ht="15" x14ac:dyDescent="0.25">
      <c r="A17" s="8">
        <v>2220</v>
      </c>
      <c r="B17" s="4" t="s">
        <v>3</v>
      </c>
      <c r="C17" s="49">
        <f>'bērni līdz 5 gadiem'!C17+'bērni no 5 gadu vec.'!C17</f>
        <v>21833.26</v>
      </c>
      <c r="D17" s="49">
        <f>'bērni līdz 5 gadiem'!D17+'bērni no 5 gadu vec.'!D17</f>
        <v>49609.98</v>
      </c>
      <c r="E17" s="49">
        <f>'bērni līdz 5 gadiem'!E17+'bērni no 5 gadu vec.'!E17</f>
        <v>105831.82</v>
      </c>
      <c r="F17" s="49">
        <f>'bērni līdz 5 gadiem'!F17+'bērni no 5 gadu vec.'!F17</f>
        <v>11843.55</v>
      </c>
      <c r="G17" s="49">
        <f>'bērni līdz 5 gadiem'!G17+'bērni no 5 gadu vec.'!G17</f>
        <v>9705.77</v>
      </c>
      <c r="H17" s="49">
        <f>'bērni līdz 5 gadiem'!H17+'bērni no 5 gadu vec.'!H17</f>
        <v>36244.25</v>
      </c>
      <c r="I17" s="49">
        <f>'bērni līdz 5 gadiem'!I17+'bērni no 5 gadu vec.'!I17</f>
        <v>27172.550000000003</v>
      </c>
      <c r="J17" s="49">
        <f>'bērni līdz 5 gadiem'!J17+'bērni no 5 gadu vec.'!J17</f>
        <v>10127.6</v>
      </c>
      <c r="K17" s="49">
        <f>'bērni līdz 5 gadiem'!K17+'bērni no 5 gadu vec.'!K17</f>
        <v>55497.85</v>
      </c>
      <c r="L17" s="49">
        <f>'bērni līdz 5 gadiem'!L17+'bērni no 5 gadu vec.'!L17</f>
        <v>22173.84</v>
      </c>
      <c r="M17" s="49">
        <f>'bērni līdz 5 gadiem'!M17+'bērni no 5 gadu vec.'!M17</f>
        <v>5100.82</v>
      </c>
      <c r="N17" s="49">
        <f>'bērni līdz 5 gadiem'!N17+'bērni no 5 gadu vec.'!N17</f>
        <v>19221.41</v>
      </c>
      <c r="O17" s="49">
        <f>'bērni līdz 5 gadiem'!O17+'bērni no 5 gadu vec.'!O17</f>
        <v>41232.990000000005</v>
      </c>
      <c r="P17" s="49">
        <f>'bērni līdz 5 gadiem'!P17+'bērni no 5 gadu vec.'!P17</f>
        <v>18181.21</v>
      </c>
      <c r="Q17" s="49">
        <f>'bērni līdz 5 gadiem'!Q17+'bērni no 5 gadu vec.'!Q17</f>
        <v>18854.27</v>
      </c>
      <c r="R17" s="49">
        <f>'bērni līdz 5 gadiem'!R17+'bērni no 5 gadu vec.'!R17</f>
        <v>8460.380000000001</v>
      </c>
      <c r="S17" s="46">
        <f t="shared" si="0"/>
        <v>461091.55</v>
      </c>
    </row>
    <row r="18" spans="1:21" ht="26.25" x14ac:dyDescent="0.25">
      <c r="A18" s="8">
        <v>2230</v>
      </c>
      <c r="B18" s="4" t="s">
        <v>4</v>
      </c>
      <c r="C18" s="49">
        <f>'bērni līdz 5 gadiem'!C18+'bērni no 5 gadu vec.'!C18</f>
        <v>836.69999999999993</v>
      </c>
      <c r="D18" s="49">
        <f>'bērni līdz 5 gadiem'!D18+'bērni no 5 gadu vec.'!D18</f>
        <v>2559.1</v>
      </c>
      <c r="E18" s="49">
        <f>'bērni līdz 5 gadiem'!E18+'bērni no 5 gadu vec.'!E18</f>
        <v>3012.35</v>
      </c>
      <c r="F18" s="49">
        <f>'bērni līdz 5 gadiem'!F18+'bērni no 5 gadu vec.'!F18</f>
        <v>353.51</v>
      </c>
      <c r="G18" s="49">
        <f>'bērni līdz 5 gadiem'!G18+'bērni no 5 gadu vec.'!G18</f>
        <v>275.5</v>
      </c>
      <c r="H18" s="49">
        <f>'bērni līdz 5 gadiem'!H18+'bērni no 5 gadu vec.'!H18</f>
        <v>54.45</v>
      </c>
      <c r="I18" s="49">
        <f>'bērni līdz 5 gadiem'!I18+'bērni no 5 gadu vec.'!I18</f>
        <v>1338.56</v>
      </c>
      <c r="J18" s="49">
        <f>'bērni līdz 5 gadiem'!J18+'bērni no 5 gadu vec.'!J18</f>
        <v>299</v>
      </c>
      <c r="K18" s="49">
        <f>'bērni līdz 5 gadiem'!K18+'bērni no 5 gadu vec.'!K18</f>
        <v>3096.6499999999996</v>
      </c>
      <c r="L18" s="49">
        <f>'bērni līdz 5 gadiem'!L18+'bērni no 5 gadu vec.'!L18</f>
        <v>1221.3900000000001</v>
      </c>
      <c r="M18" s="49">
        <f>'bērni līdz 5 gadiem'!M18+'bērni no 5 gadu vec.'!M18</f>
        <v>1502.5</v>
      </c>
      <c r="N18" s="49">
        <f>'bērni līdz 5 gadiem'!N18+'bērni no 5 gadu vec.'!N18</f>
        <v>94</v>
      </c>
      <c r="O18" s="49">
        <f>'bērni līdz 5 gadiem'!O18+'bērni no 5 gadu vec.'!O18</f>
        <v>918.86</v>
      </c>
      <c r="P18" s="49">
        <f>'bērni līdz 5 gadiem'!P18+'bērni no 5 gadu vec.'!P18</f>
        <v>418.29</v>
      </c>
      <c r="Q18" s="49">
        <f>'bērni līdz 5 gadiem'!Q18+'bērni no 5 gadu vec.'!Q18</f>
        <v>1278.42</v>
      </c>
      <c r="R18" s="49">
        <f>'bērni līdz 5 gadiem'!R18+'bērni no 5 gadu vec.'!R18</f>
        <v>0</v>
      </c>
      <c r="S18" s="46">
        <f t="shared" si="0"/>
        <v>17259.28</v>
      </c>
    </row>
    <row r="19" spans="1:21" ht="26.25" x14ac:dyDescent="0.25">
      <c r="A19" s="8">
        <v>2240</v>
      </c>
      <c r="B19" s="4" t="s">
        <v>33</v>
      </c>
      <c r="C19" s="49">
        <f>'bērni līdz 5 gadiem'!C19+'bērni no 5 gadu vec.'!C19</f>
        <v>6505.96</v>
      </c>
      <c r="D19" s="49">
        <f>'bērni līdz 5 gadiem'!D19+'bērni no 5 gadu vec.'!D19</f>
        <v>6452.8099999999995</v>
      </c>
      <c r="E19" s="49">
        <f>'bērni līdz 5 gadiem'!E19+'bērni no 5 gadu vec.'!E19</f>
        <v>45106</v>
      </c>
      <c r="F19" s="49">
        <f>'bērni līdz 5 gadiem'!F19+'bērni no 5 gadu vec.'!F19</f>
        <v>918.56</v>
      </c>
      <c r="G19" s="49">
        <f>'bērni līdz 5 gadiem'!G19+'bērni no 5 gadu vec.'!G19</f>
        <v>728.11</v>
      </c>
      <c r="H19" s="49">
        <f>'bērni līdz 5 gadiem'!H19+'bērni no 5 gadu vec.'!H19</f>
        <v>3767.8999999999996</v>
      </c>
      <c r="I19" s="49">
        <f>'bērni līdz 5 gadiem'!I19+'bērni no 5 gadu vec.'!I19</f>
        <v>5411.6399999999994</v>
      </c>
      <c r="J19" s="49">
        <f>'bērni līdz 5 gadiem'!J19+'bērni no 5 gadu vec.'!J19</f>
        <v>600.14</v>
      </c>
      <c r="K19" s="49">
        <f>'bērni līdz 5 gadiem'!K19+'bērni no 5 gadu vec.'!K19</f>
        <v>13117.93</v>
      </c>
      <c r="L19" s="49">
        <f>'bērni līdz 5 gadiem'!L19+'bērni no 5 gadu vec.'!L19</f>
        <v>1845.55</v>
      </c>
      <c r="M19" s="49">
        <f>'bērni līdz 5 gadiem'!M19+'bērni no 5 gadu vec.'!M19</f>
        <v>993.79</v>
      </c>
      <c r="N19" s="49">
        <f>'bērni līdz 5 gadiem'!N19+'bērni no 5 gadu vec.'!N19</f>
        <v>846.53000000000009</v>
      </c>
      <c r="O19" s="49">
        <f>'bērni līdz 5 gadiem'!O19+'bērni no 5 gadu vec.'!O19</f>
        <v>1480.7399999999998</v>
      </c>
      <c r="P19" s="49">
        <f>'bērni līdz 5 gadiem'!P19+'bērni no 5 gadu vec.'!P19</f>
        <v>623.06999999999994</v>
      </c>
      <c r="Q19" s="49">
        <f>'bērni līdz 5 gadiem'!Q19+'bērni no 5 gadu vec.'!Q19</f>
        <v>32294.019999999997</v>
      </c>
      <c r="R19" s="49">
        <f>'bērni līdz 5 gadiem'!R19+'bērni no 5 gadu vec.'!R19</f>
        <v>75.5</v>
      </c>
      <c r="S19" s="46">
        <f t="shared" si="0"/>
        <v>120768.25000000001</v>
      </c>
    </row>
    <row r="20" spans="1:21" ht="15" x14ac:dyDescent="0.25">
      <c r="A20" s="8">
        <v>2250</v>
      </c>
      <c r="B20" s="4" t="s">
        <v>5</v>
      </c>
      <c r="C20" s="49">
        <f>'bērni līdz 5 gadiem'!C20+'bērni no 5 gadu vec.'!C20</f>
        <v>348.48</v>
      </c>
      <c r="D20" s="49">
        <f>'bērni līdz 5 gadiem'!D20+'bērni no 5 gadu vec.'!D20</f>
        <v>0</v>
      </c>
      <c r="E20" s="49">
        <f>'bērni līdz 5 gadiem'!E20+'bērni no 5 gadu vec.'!E20</f>
        <v>0</v>
      </c>
      <c r="F20" s="49">
        <f>'bērni līdz 5 gadiem'!F20+'bērni no 5 gadu vec.'!F20</f>
        <v>414.48</v>
      </c>
      <c r="G20" s="49">
        <f>'bērni līdz 5 gadiem'!G20+'bērni no 5 gadu vec.'!G20</f>
        <v>0</v>
      </c>
      <c r="H20" s="49">
        <f>'bērni līdz 5 gadiem'!H20+'bērni no 5 gadu vec.'!H20</f>
        <v>348.48</v>
      </c>
      <c r="I20" s="49">
        <f>'bērni līdz 5 gadiem'!I20+'bērni no 5 gadu vec.'!I20</f>
        <v>941.73</v>
      </c>
      <c r="J20" s="49">
        <f>'bērni līdz 5 gadiem'!J20+'bērni no 5 gadu vec.'!J20</f>
        <v>368.47</v>
      </c>
      <c r="K20" s="49">
        <f>'bērni līdz 5 gadiem'!K20+'bērni no 5 gadu vec.'!K20</f>
        <v>1368.78</v>
      </c>
      <c r="L20" s="49">
        <f>'bērni līdz 5 gadiem'!L20+'bērni no 5 gadu vec.'!L20</f>
        <v>396.08000000000004</v>
      </c>
      <c r="M20" s="49">
        <f>'bērni līdz 5 gadiem'!M20+'bērni no 5 gadu vec.'!M20</f>
        <v>0</v>
      </c>
      <c r="N20" s="49">
        <f>'bērni līdz 5 gadiem'!N20+'bērni no 5 gadu vec.'!N20</f>
        <v>0</v>
      </c>
      <c r="O20" s="49">
        <f>'bērni līdz 5 gadiem'!O20+'bērni no 5 gadu vec.'!O20</f>
        <v>348.48</v>
      </c>
      <c r="P20" s="49">
        <f>'bērni līdz 5 gadiem'!P20+'bērni no 5 gadu vec.'!P20</f>
        <v>348.48</v>
      </c>
      <c r="Q20" s="49">
        <f>'bērni līdz 5 gadiem'!Q20+'bērni no 5 gadu vec.'!Q20</f>
        <v>348.48</v>
      </c>
      <c r="R20" s="49">
        <f>'bērni līdz 5 gadiem'!R20+'bērni no 5 gadu vec.'!R20</f>
        <v>0</v>
      </c>
      <c r="S20" s="46">
        <f t="shared" si="0"/>
        <v>5231.9400000000005</v>
      </c>
    </row>
    <row r="21" spans="1:21" ht="15" x14ac:dyDescent="0.25">
      <c r="A21" s="8">
        <v>2260</v>
      </c>
      <c r="B21" s="4" t="s">
        <v>34</v>
      </c>
      <c r="C21" s="49">
        <f>'bērni līdz 5 gadiem'!C21+'bērni no 5 gadu vec.'!C21</f>
        <v>1063.8700000000001</v>
      </c>
      <c r="D21" s="49">
        <f>'bērni līdz 5 gadiem'!D21+'bērni no 5 gadu vec.'!D21</f>
        <v>476.68</v>
      </c>
      <c r="E21" s="49">
        <f>'bērni līdz 5 gadiem'!E21+'bērni no 5 gadu vec.'!E21</f>
        <v>0</v>
      </c>
      <c r="F21" s="49">
        <f>'bērni līdz 5 gadiem'!F21+'bērni no 5 gadu vec.'!F21</f>
        <v>27.73</v>
      </c>
      <c r="G21" s="49">
        <f>'bērni līdz 5 gadiem'!G21+'bērni no 5 gadu vec.'!G21</f>
        <v>8.57</v>
      </c>
      <c r="H21" s="49">
        <f>'bērni līdz 5 gadiem'!H21+'bērni no 5 gadu vec.'!H21</f>
        <v>830.01</v>
      </c>
      <c r="I21" s="49">
        <f>'bērni līdz 5 gadiem'!I21+'bērni no 5 gadu vec.'!I21</f>
        <v>0</v>
      </c>
      <c r="J21" s="49">
        <f>'bērni līdz 5 gadiem'!J21+'bērni no 5 gadu vec.'!J21</f>
        <v>329.82</v>
      </c>
      <c r="K21" s="49">
        <f>'bērni līdz 5 gadiem'!K21+'bērni no 5 gadu vec.'!K21</f>
        <v>0</v>
      </c>
      <c r="L21" s="49">
        <f>'bērni līdz 5 gadiem'!L21+'bērni no 5 gadu vec.'!L21</f>
        <v>0</v>
      </c>
      <c r="M21" s="49">
        <f>'bērni līdz 5 gadiem'!M21+'bērni no 5 gadu vec.'!M21</f>
        <v>24.2</v>
      </c>
      <c r="N21" s="49">
        <f>'bērni līdz 5 gadiem'!N21+'bērni no 5 gadu vec.'!N21</f>
        <v>0</v>
      </c>
      <c r="O21" s="49">
        <f>'bērni līdz 5 gadiem'!O21+'bērni no 5 gadu vec.'!O21</f>
        <v>46.620000000000005</v>
      </c>
      <c r="P21" s="49">
        <f>'bērni līdz 5 gadiem'!P21+'bērni no 5 gadu vec.'!P21</f>
        <v>238.22000000000003</v>
      </c>
      <c r="Q21" s="49">
        <f>'bērni līdz 5 gadiem'!Q21+'bērni no 5 gadu vec.'!Q21</f>
        <v>1424.69</v>
      </c>
      <c r="R21" s="49">
        <f>'bērni līdz 5 gadiem'!R21+'bērni no 5 gadu vec.'!R21</f>
        <v>0</v>
      </c>
      <c r="S21" s="46">
        <f t="shared" si="0"/>
        <v>4470.4100000000008</v>
      </c>
    </row>
    <row r="22" spans="1:21" ht="26.25" x14ac:dyDescent="0.25">
      <c r="A22" s="7">
        <v>2300</v>
      </c>
      <c r="B22" s="2" t="s">
        <v>35</v>
      </c>
      <c r="C22" s="47">
        <f t="shared" ref="C22:F22" si="3">SUM(C23:C29)</f>
        <v>27795.88</v>
      </c>
      <c r="D22" s="47">
        <f t="shared" si="3"/>
        <v>57045.440000000002</v>
      </c>
      <c r="E22" s="47">
        <f t="shared" si="3"/>
        <v>65440.77</v>
      </c>
      <c r="F22" s="47">
        <f t="shared" si="3"/>
        <v>10605.810000000001</v>
      </c>
      <c r="G22" s="47">
        <f t="shared" ref="G22:R22" si="4">SUM(G23:G29)</f>
        <v>13215.940000000002</v>
      </c>
      <c r="H22" s="47">
        <f t="shared" si="4"/>
        <v>16938.649999999998</v>
      </c>
      <c r="I22" s="47">
        <f t="shared" si="4"/>
        <v>32951.33</v>
      </c>
      <c r="J22" s="47">
        <f t="shared" si="4"/>
        <v>8062.06</v>
      </c>
      <c r="K22" s="47">
        <f t="shared" si="4"/>
        <v>26480.48</v>
      </c>
      <c r="L22" s="47">
        <f t="shared" si="4"/>
        <v>16865.23</v>
      </c>
      <c r="M22" s="47">
        <f t="shared" si="4"/>
        <v>12741.25</v>
      </c>
      <c r="N22" s="47">
        <f t="shared" si="4"/>
        <v>9408.7200000000012</v>
      </c>
      <c r="O22" s="47">
        <f t="shared" si="4"/>
        <v>20265.489999999998</v>
      </c>
      <c r="P22" s="47">
        <f t="shared" si="4"/>
        <v>21387.94</v>
      </c>
      <c r="Q22" s="47">
        <f t="shared" si="4"/>
        <v>55322.95</v>
      </c>
      <c r="R22" s="47">
        <f t="shared" si="4"/>
        <v>11264.91</v>
      </c>
      <c r="S22" s="46">
        <f t="shared" si="0"/>
        <v>405792.85</v>
      </c>
    </row>
    <row r="23" spans="1:21" ht="15" x14ac:dyDescent="0.25">
      <c r="A23" s="10">
        <v>2310</v>
      </c>
      <c r="B23" s="4" t="s">
        <v>36</v>
      </c>
      <c r="C23" s="49">
        <f>'bērni līdz 5 gadiem'!C23+'bērni no 5 gadu vec.'!C23</f>
        <v>1921.25</v>
      </c>
      <c r="D23" s="49">
        <f>'bērni līdz 5 gadiem'!D23+'bērni no 5 gadu vec.'!D23</f>
        <v>1030.9000000000001</v>
      </c>
      <c r="E23" s="49">
        <f>'bērni līdz 5 gadiem'!E23+'bērni no 5 gadu vec.'!E23</f>
        <v>5374.09</v>
      </c>
      <c r="F23" s="49">
        <f>'bērni līdz 5 gadiem'!F23+'bērni no 5 gadu vec.'!F23</f>
        <v>700.96</v>
      </c>
      <c r="G23" s="49">
        <f>'bērni līdz 5 gadiem'!G23+'bērni no 5 gadu vec.'!G23</f>
        <v>966.48</v>
      </c>
      <c r="H23" s="49">
        <f>'bērni līdz 5 gadiem'!H23+'bērni no 5 gadu vec.'!H23</f>
        <v>1061.3600000000001</v>
      </c>
      <c r="I23" s="49">
        <f>'bērni līdz 5 gadiem'!I23+'bērni no 5 gadu vec.'!I23</f>
        <v>4741.8</v>
      </c>
      <c r="J23" s="49">
        <f>'bērni līdz 5 gadiem'!J23+'bērni no 5 gadu vec.'!J23</f>
        <v>234.89</v>
      </c>
      <c r="K23" s="49">
        <f>'bērni līdz 5 gadiem'!K23+'bērni no 5 gadu vec.'!K23</f>
        <v>4083.8500000000004</v>
      </c>
      <c r="L23" s="49">
        <f>'bērni līdz 5 gadiem'!L23+'bērni no 5 gadu vec.'!L23</f>
        <v>1685.73</v>
      </c>
      <c r="M23" s="49">
        <f>'bērni līdz 5 gadiem'!M23+'bērni no 5 gadu vec.'!M23</f>
        <v>714.2</v>
      </c>
      <c r="N23" s="49">
        <f>'bērni līdz 5 gadiem'!N23+'bērni no 5 gadu vec.'!N23</f>
        <v>1181.6100000000001</v>
      </c>
      <c r="O23" s="49">
        <f>'bērni līdz 5 gadiem'!O23+'bērni no 5 gadu vec.'!O23</f>
        <v>1635.76</v>
      </c>
      <c r="P23" s="49">
        <f>'bērni līdz 5 gadiem'!P23+'bērni no 5 gadu vec.'!P23</f>
        <v>2979.8100000000004</v>
      </c>
      <c r="Q23" s="49">
        <f>'bērni līdz 5 gadiem'!Q23+'bērni no 5 gadu vec.'!Q23</f>
        <v>3515.8199999999997</v>
      </c>
      <c r="R23" s="49">
        <f>'bērni līdz 5 gadiem'!R23+'bērni no 5 gadu vec.'!R23</f>
        <v>78.91</v>
      </c>
      <c r="S23" s="46">
        <f t="shared" si="0"/>
        <v>31907.420000000002</v>
      </c>
    </row>
    <row r="24" spans="1:21" ht="26.25" x14ac:dyDescent="0.25">
      <c r="A24" s="10">
        <v>2320</v>
      </c>
      <c r="B24" s="4" t="s">
        <v>6</v>
      </c>
      <c r="C24" s="49">
        <f>'bērni līdz 5 gadiem'!C24+'bērni no 5 gadu vec.'!C24</f>
        <v>0</v>
      </c>
      <c r="D24" s="49">
        <f>'bērni līdz 5 gadiem'!D24+'bērni no 5 gadu vec.'!D24</f>
        <v>0</v>
      </c>
      <c r="E24" s="49">
        <f>'bērni līdz 5 gadiem'!E24+'bērni no 5 gadu vec.'!E24</f>
        <v>0</v>
      </c>
      <c r="F24" s="49">
        <f>'bērni līdz 5 gadiem'!F24+'bērni no 5 gadu vec.'!F24</f>
        <v>0</v>
      </c>
      <c r="G24" s="49">
        <f>'bērni līdz 5 gadiem'!G24+'bērni no 5 gadu vec.'!G24</f>
        <v>0</v>
      </c>
      <c r="H24" s="49">
        <f>'bērni līdz 5 gadiem'!H24+'bērni no 5 gadu vec.'!H24</f>
        <v>0</v>
      </c>
      <c r="I24" s="49">
        <f>'bērni līdz 5 gadiem'!I24+'bērni no 5 gadu vec.'!I24</f>
        <v>0</v>
      </c>
      <c r="J24" s="49">
        <f>'bērni līdz 5 gadiem'!J24+'bērni no 5 gadu vec.'!J24</f>
        <v>0</v>
      </c>
      <c r="K24" s="49">
        <f>'bērni līdz 5 gadiem'!K24+'bērni no 5 gadu vec.'!K24</f>
        <v>0</v>
      </c>
      <c r="L24" s="49">
        <f>'bērni līdz 5 gadiem'!L24+'bērni no 5 gadu vec.'!L24</f>
        <v>0</v>
      </c>
      <c r="M24" s="49">
        <f>'bērni līdz 5 gadiem'!M24+'bērni no 5 gadu vec.'!M24</f>
        <v>9022.48</v>
      </c>
      <c r="N24" s="49">
        <f>'bērni līdz 5 gadiem'!N24+'bērni no 5 gadu vec.'!N24</f>
        <v>0</v>
      </c>
      <c r="O24" s="49">
        <f>'bērni līdz 5 gadiem'!O24+'bērni no 5 gadu vec.'!O24</f>
        <v>0</v>
      </c>
      <c r="P24" s="49">
        <f>'bērni līdz 5 gadiem'!P24+'bērni no 5 gadu vec.'!P24</f>
        <v>0</v>
      </c>
      <c r="Q24" s="49">
        <f>'bērni līdz 5 gadiem'!Q24+'bērni no 5 gadu vec.'!Q24</f>
        <v>21950.5</v>
      </c>
      <c r="R24" s="49">
        <f>'bērni līdz 5 gadiem'!R24+'bērni no 5 gadu vec.'!R24</f>
        <v>6456.55</v>
      </c>
      <c r="S24" s="46">
        <f t="shared" si="0"/>
        <v>37429.53</v>
      </c>
    </row>
    <row r="25" spans="1:21" ht="26.25" x14ac:dyDescent="0.25">
      <c r="A25" s="10">
        <v>2340</v>
      </c>
      <c r="B25" s="4" t="s">
        <v>37</v>
      </c>
      <c r="C25" s="49">
        <f>'bērni līdz 5 gadiem'!C25+'bērni no 5 gadu vec.'!C25</f>
        <v>27.799999999999997</v>
      </c>
      <c r="D25" s="49">
        <f>'bērni līdz 5 gadiem'!D25+'bērni no 5 gadu vec.'!D25</f>
        <v>61.42</v>
      </c>
      <c r="E25" s="49">
        <f>'bērni līdz 5 gadiem'!E25+'bērni no 5 gadu vec.'!E25</f>
        <v>179.95</v>
      </c>
      <c r="F25" s="49">
        <f>'bērni līdz 5 gadiem'!F25+'bērni no 5 gadu vec.'!F25</f>
        <v>0</v>
      </c>
      <c r="G25" s="49">
        <f>'bērni līdz 5 gadiem'!G25+'bērni no 5 gadu vec.'!G25</f>
        <v>30.729999999999997</v>
      </c>
      <c r="H25" s="49">
        <f>'bērni līdz 5 gadiem'!H25+'bērni no 5 gadu vec.'!H25</f>
        <v>0</v>
      </c>
      <c r="I25" s="49">
        <f>'bērni līdz 5 gadiem'!I25+'bērni no 5 gadu vec.'!I25</f>
        <v>26.839999999999996</v>
      </c>
      <c r="J25" s="49">
        <f>'bērni līdz 5 gadiem'!J25+'bērni no 5 gadu vec.'!J25</f>
        <v>0</v>
      </c>
      <c r="K25" s="49">
        <f>'bērni līdz 5 gadiem'!K25+'bērni no 5 gadu vec.'!K25</f>
        <v>0</v>
      </c>
      <c r="L25" s="49">
        <f>'bērni līdz 5 gadiem'!L25+'bērni no 5 gadu vec.'!L25</f>
        <v>0</v>
      </c>
      <c r="M25" s="49">
        <f>'bērni līdz 5 gadiem'!M25+'bērni no 5 gadu vec.'!M25</f>
        <v>0</v>
      </c>
      <c r="N25" s="49">
        <f>'bērni līdz 5 gadiem'!N25+'bērni no 5 gadu vec.'!N25</f>
        <v>52.88</v>
      </c>
      <c r="O25" s="49">
        <f>'bērni līdz 5 gadiem'!O25+'bērni no 5 gadu vec.'!O25</f>
        <v>0</v>
      </c>
      <c r="P25" s="49">
        <f>'bērni līdz 5 gadiem'!P25+'bērni no 5 gadu vec.'!P25</f>
        <v>48.989999999999995</v>
      </c>
      <c r="Q25" s="49">
        <f>'bērni līdz 5 gadiem'!Q25+'bērni no 5 gadu vec.'!Q25</f>
        <v>0</v>
      </c>
      <c r="R25" s="49">
        <f>'bērni līdz 5 gadiem'!R25+'bērni no 5 gadu vec.'!R25</f>
        <v>0</v>
      </c>
      <c r="S25" s="46">
        <f>C25+D25+E25+F25+G25+H25+J25+L25+M25+N25+P25+Q25+R25+I25+K25+O25</f>
        <v>428.60999999999996</v>
      </c>
    </row>
    <row r="26" spans="1:21" ht="15" x14ac:dyDescent="0.25">
      <c r="A26" s="10">
        <v>2350</v>
      </c>
      <c r="B26" s="4" t="s">
        <v>7</v>
      </c>
      <c r="C26" s="49">
        <f>'bērni līdz 5 gadiem'!C26+'bērni no 5 gadu vec.'!C26</f>
        <v>4737.93</v>
      </c>
      <c r="D26" s="49">
        <f>'bērni līdz 5 gadiem'!D26+'bērni no 5 gadu vec.'!D26</f>
        <v>3399.3500000000004</v>
      </c>
      <c r="E26" s="49">
        <f>'bērni līdz 5 gadiem'!E26+'bērni no 5 gadu vec.'!E26</f>
        <v>7074.41</v>
      </c>
      <c r="F26" s="49">
        <f>'bērni līdz 5 gadiem'!F26+'bērni no 5 gadu vec.'!F26</f>
        <v>844.13</v>
      </c>
      <c r="G26" s="49">
        <f>'bērni līdz 5 gadiem'!G26+'bērni no 5 gadu vec.'!G26</f>
        <v>1536.56</v>
      </c>
      <c r="H26" s="49">
        <f>'bērni līdz 5 gadiem'!H26+'bērni no 5 gadu vec.'!H26</f>
        <v>1119.46</v>
      </c>
      <c r="I26" s="49">
        <f>'bērni līdz 5 gadiem'!I26+'bērni no 5 gadu vec.'!I26</f>
        <v>3363.36</v>
      </c>
      <c r="J26" s="49">
        <f>'bērni līdz 5 gadiem'!J26+'bērni no 5 gadu vec.'!J26</f>
        <v>985.56999999999994</v>
      </c>
      <c r="K26" s="49">
        <f>'bērni līdz 5 gadiem'!K26+'bērni no 5 gadu vec.'!K26</f>
        <v>3030.0699999999997</v>
      </c>
      <c r="L26" s="49">
        <f>'bērni līdz 5 gadiem'!L26+'bērni no 5 gadu vec.'!L26</f>
        <v>2160.3900000000003</v>
      </c>
      <c r="M26" s="49">
        <f>'bērni līdz 5 gadiem'!M26+'bērni no 5 gadu vec.'!M26</f>
        <v>585.32000000000005</v>
      </c>
      <c r="N26" s="49">
        <f>'bērni līdz 5 gadiem'!N26+'bērni no 5 gadu vec.'!N26</f>
        <v>2167.33</v>
      </c>
      <c r="O26" s="49">
        <f>'bērni līdz 5 gadiem'!O26+'bērni no 5 gadu vec.'!O26</f>
        <v>3487.2200000000003</v>
      </c>
      <c r="P26" s="49">
        <f>'bērni līdz 5 gadiem'!P26+'bērni no 5 gadu vec.'!P26</f>
        <v>2742.56</v>
      </c>
      <c r="Q26" s="49">
        <f>'bērni līdz 5 gadiem'!Q26+'bērni no 5 gadu vec.'!Q26</f>
        <v>4308.68</v>
      </c>
      <c r="R26" s="49">
        <f>'bērni līdz 5 gadiem'!R26+'bērni no 5 gadu vec.'!R26</f>
        <v>611.17000000000007</v>
      </c>
      <c r="S26" s="46">
        <f t="shared" si="0"/>
        <v>42153.51</v>
      </c>
    </row>
    <row r="27" spans="1:21" ht="26.25" x14ac:dyDescent="0.25">
      <c r="A27" s="10">
        <v>2360</v>
      </c>
      <c r="B27" s="4" t="s">
        <v>38</v>
      </c>
      <c r="C27" s="49">
        <f>'bērni līdz 5 gadiem'!C27+'bērni no 5 gadu vec.'!C27</f>
        <v>550.45000000000005</v>
      </c>
      <c r="D27" s="49">
        <f>'bērni līdz 5 gadiem'!D27+'bērni no 5 gadu vec.'!D27</f>
        <v>36.010000000000005</v>
      </c>
      <c r="E27" s="49">
        <f>'bērni līdz 5 gadiem'!E27+'bērni no 5 gadu vec.'!E27</f>
        <v>375.20000000000005</v>
      </c>
      <c r="F27" s="49">
        <f>'bērni līdz 5 gadiem'!F27+'bērni no 5 gadu vec.'!F27</f>
        <v>245.63</v>
      </c>
      <c r="G27" s="49">
        <f>'bērni līdz 5 gadiem'!G27+'bērni no 5 gadu vec.'!G27</f>
        <v>32.590000000000003</v>
      </c>
      <c r="H27" s="49">
        <f>'bērni līdz 5 gadiem'!H27+'bērni no 5 gadu vec.'!H27</f>
        <v>112.7</v>
      </c>
      <c r="I27" s="49">
        <f>'bērni līdz 5 gadiem'!I27+'bērni no 5 gadu vec.'!I27</f>
        <v>863.72</v>
      </c>
      <c r="J27" s="49">
        <f>'bērni līdz 5 gadiem'!J27+'bērni no 5 gadu vec.'!J27</f>
        <v>308.07</v>
      </c>
      <c r="K27" s="49">
        <f>'bērni līdz 5 gadiem'!K27+'bērni no 5 gadu vec.'!K27</f>
        <v>0</v>
      </c>
      <c r="L27" s="49">
        <f>'bērni līdz 5 gadiem'!L27+'bērni no 5 gadu vec.'!L27</f>
        <v>457.29</v>
      </c>
      <c r="M27" s="49">
        <f>'bērni līdz 5 gadiem'!M27+'bērni no 5 gadu vec.'!M27</f>
        <v>0</v>
      </c>
      <c r="N27" s="49">
        <f>'bērni līdz 5 gadiem'!N27+'bērni no 5 gadu vec.'!N27</f>
        <v>9</v>
      </c>
      <c r="O27" s="49">
        <f>'bērni līdz 5 gadiem'!O27+'bērni no 5 gadu vec.'!O27</f>
        <v>0</v>
      </c>
      <c r="P27" s="49">
        <f>'bērni līdz 5 gadiem'!P27+'bērni no 5 gadu vec.'!P27</f>
        <v>87.12</v>
      </c>
      <c r="Q27" s="49">
        <f>'bērni līdz 5 gadiem'!Q27+'bērni no 5 gadu vec.'!Q27</f>
        <v>103.05000000000001</v>
      </c>
      <c r="R27" s="49">
        <f>'bērni līdz 5 gadiem'!R27+'bērni no 5 gadu vec.'!R27</f>
        <v>0</v>
      </c>
      <c r="S27" s="46">
        <f t="shared" si="0"/>
        <v>3180.83</v>
      </c>
    </row>
    <row r="28" spans="1:21" ht="26.25" x14ac:dyDescent="0.25">
      <c r="A28" s="40">
        <v>2363</v>
      </c>
      <c r="B28" s="41" t="s">
        <v>55</v>
      </c>
      <c r="C28" s="61">
        <f>'bērni līdz 5 gadiem'!C28+'bērni no 5 gadu vec.'!C28</f>
        <v>19552.29</v>
      </c>
      <c r="D28" s="61">
        <f>'bērni līdz 5 gadiem'!D28+'bērni no 5 gadu vec.'!D28</f>
        <v>52285.53</v>
      </c>
      <c r="E28" s="61">
        <f>'bērni līdz 5 gadiem'!E28+'bērni no 5 gadu vec.'!E28</f>
        <v>52333.59</v>
      </c>
      <c r="F28" s="61">
        <f>'bērni līdz 5 gadiem'!F28+'bērni no 5 gadu vec.'!F28</f>
        <v>8373.11</v>
      </c>
      <c r="G28" s="61">
        <f>'bērni līdz 5 gadiem'!G28+'bērni no 5 gadu vec.'!G28</f>
        <v>10347.970000000001</v>
      </c>
      <c r="H28" s="61">
        <f>'bērni līdz 5 gadiem'!H28+'bērni no 5 gadu vec.'!H28</f>
        <v>14330.619999999999</v>
      </c>
      <c r="I28" s="61">
        <f>'bērni līdz 5 gadiem'!I28+'bērni no 5 gadu vec.'!I28</f>
        <v>23726.120000000003</v>
      </c>
      <c r="J28" s="61">
        <f>'bērni līdz 5 gadiem'!J28+'bērni no 5 gadu vec.'!J28</f>
        <v>5814.2000000000007</v>
      </c>
      <c r="K28" s="61">
        <f>'bērni līdz 5 gadiem'!K28+'bērni no 5 gadu vec.'!K28</f>
        <v>17671.87</v>
      </c>
      <c r="L28" s="61">
        <f>'bērni līdz 5 gadiem'!L28+'bērni no 5 gadu vec.'!L28</f>
        <v>12126.5</v>
      </c>
      <c r="M28" s="61">
        <f>'bērni līdz 5 gadiem'!M28+'bērni no 5 gadu vec.'!M28</f>
        <v>2383.8500000000004</v>
      </c>
      <c r="N28" s="61">
        <f>'bērni līdz 5 gadiem'!N28+'bērni no 5 gadu vec.'!N28</f>
        <v>5680.71</v>
      </c>
      <c r="O28" s="61">
        <f>'bērni līdz 5 gadiem'!O28+'bērni no 5 gadu vec.'!O28</f>
        <v>12190.46</v>
      </c>
      <c r="P28" s="61">
        <f>'bērni līdz 5 gadiem'!P28+'bērni no 5 gadu vec.'!P28</f>
        <v>15096.509999999998</v>
      </c>
      <c r="Q28" s="74">
        <f>'bērni līdz 5 gadiem'!Q28+'bērni no 5 gadu vec.'!Q28</f>
        <v>25325.34</v>
      </c>
      <c r="R28" s="61">
        <f>'bērni līdz 5 gadiem'!R28+'bērni no 5 gadu vec.'!R28</f>
        <v>3883.69</v>
      </c>
      <c r="S28" s="62">
        <f t="shared" si="0"/>
        <v>281122.36000000004</v>
      </c>
    </row>
    <row r="29" spans="1:21" ht="15" x14ac:dyDescent="0.25">
      <c r="A29" s="10">
        <v>2370</v>
      </c>
      <c r="B29" s="4" t="s">
        <v>30</v>
      </c>
      <c r="C29" s="49">
        <f>'bērni līdz 5 gadiem'!C29+'bērni no 5 gadu vec.'!C29</f>
        <v>1006.1600000000001</v>
      </c>
      <c r="D29" s="49">
        <f>'bērni līdz 5 gadiem'!D29+'bērni no 5 gadu vec.'!D29</f>
        <v>232.23000000000002</v>
      </c>
      <c r="E29" s="49">
        <f>'bērni līdz 5 gadiem'!E29+'bērni no 5 gadu vec.'!E29</f>
        <v>103.52999999999997</v>
      </c>
      <c r="F29" s="49">
        <f>'bērni līdz 5 gadiem'!F29+'bērni no 5 gadu vec.'!F29</f>
        <v>441.98</v>
      </c>
      <c r="G29" s="49">
        <f>'bērni līdz 5 gadiem'!G29+'bērni no 5 gadu vec.'!G29</f>
        <v>301.61</v>
      </c>
      <c r="H29" s="49">
        <f>'bērni līdz 5 gadiem'!H29+'bērni no 5 gadu vec.'!H29</f>
        <v>314.51</v>
      </c>
      <c r="I29" s="49">
        <f>'bērni līdz 5 gadiem'!I29+'bērni no 5 gadu vec.'!I29</f>
        <v>229.49</v>
      </c>
      <c r="J29" s="49">
        <f>'bērni līdz 5 gadiem'!J29+'bērni no 5 gadu vec.'!J29</f>
        <v>719.33</v>
      </c>
      <c r="K29" s="49">
        <f>'bērni līdz 5 gadiem'!K29+'bērni no 5 gadu vec.'!K29</f>
        <v>1694.69</v>
      </c>
      <c r="L29" s="49">
        <f>'bērni līdz 5 gadiem'!L29+'bērni no 5 gadu vec.'!L29</f>
        <v>435.32000000000005</v>
      </c>
      <c r="M29" s="49">
        <f>'bērni līdz 5 gadiem'!M29+'bērni no 5 gadu vec.'!M29</f>
        <v>35.400000000000006</v>
      </c>
      <c r="N29" s="49">
        <f>'bērni līdz 5 gadiem'!N29+'bērni no 5 gadu vec.'!N29</f>
        <v>317.19</v>
      </c>
      <c r="O29" s="49">
        <f>'bērni līdz 5 gadiem'!O29+'bērni no 5 gadu vec.'!O29</f>
        <v>2952.05</v>
      </c>
      <c r="P29" s="49">
        <f>'bērni līdz 5 gadiem'!P29+'bērni no 5 gadu vec.'!P29</f>
        <v>432.95</v>
      </c>
      <c r="Q29" s="49">
        <f>'bērni līdz 5 gadiem'!Q29+'bērni no 5 gadu vec.'!Q29</f>
        <v>119.55999999999995</v>
      </c>
      <c r="R29" s="49">
        <f>'bērni līdz 5 gadiem'!R29+'bērni no 5 gadu vec.'!R29</f>
        <v>234.59</v>
      </c>
      <c r="S29" s="46">
        <f t="shared" si="0"/>
        <v>9570.59</v>
      </c>
    </row>
    <row r="30" spans="1:21" ht="15" x14ac:dyDescent="0.25">
      <c r="A30" s="9">
        <v>2400</v>
      </c>
      <c r="B30" s="2" t="s">
        <v>8</v>
      </c>
      <c r="C30" s="52">
        <f>'bērni līdz 5 gadiem'!C30+'bērni no 5 gadu vec.'!C30</f>
        <v>0</v>
      </c>
      <c r="D30" s="52">
        <f>'bērni līdz 5 gadiem'!D30+'bērni no 5 gadu vec.'!D30</f>
        <v>0</v>
      </c>
      <c r="E30" s="52">
        <f>'bērni līdz 5 gadiem'!E30+'bērni no 5 gadu vec.'!E30</f>
        <v>243</v>
      </c>
      <c r="F30" s="52">
        <f>'bērni līdz 5 gadiem'!F30+'bērni no 5 gadu vec.'!F30</f>
        <v>59</v>
      </c>
      <c r="G30" s="52">
        <f>'bērni līdz 5 gadiem'!G30+'bērni no 5 gadu vec.'!G30</f>
        <v>0</v>
      </c>
      <c r="H30" s="52">
        <f>'bērni līdz 5 gadiem'!H30+'bērni no 5 gadu vec.'!H30</f>
        <v>0</v>
      </c>
      <c r="I30" s="52">
        <f>'bērni līdz 5 gadiem'!I30+'bērni no 5 gadu vec.'!I30</f>
        <v>0</v>
      </c>
      <c r="J30" s="52">
        <f>'bērni līdz 5 gadiem'!J30+'bērni no 5 gadu vec.'!J30</f>
        <v>0</v>
      </c>
      <c r="K30" s="52">
        <f>'bērni līdz 5 gadiem'!K30+'bērni no 5 gadu vec.'!K30</f>
        <v>183</v>
      </c>
      <c r="L30" s="52">
        <f>'bērni līdz 5 gadiem'!L30+'bērni no 5 gadu vec.'!L30</f>
        <v>0</v>
      </c>
      <c r="M30" s="52">
        <f>'bērni līdz 5 gadiem'!M30+'bērni no 5 gadu vec.'!M30</f>
        <v>0</v>
      </c>
      <c r="N30" s="52">
        <f>'bērni līdz 5 gadiem'!N30+'bērni no 5 gadu vec.'!N30</f>
        <v>0</v>
      </c>
      <c r="O30" s="52">
        <f>'bērni līdz 5 gadiem'!O30+'bērni no 5 gadu vec.'!O30</f>
        <v>0</v>
      </c>
      <c r="P30" s="52">
        <f>'bērni līdz 5 gadiem'!P30+'bērni no 5 gadu vec.'!P30</f>
        <v>0</v>
      </c>
      <c r="Q30" s="52">
        <f>'bērni līdz 5 gadiem'!Q30+'bērni no 5 gadu vec.'!Q30</f>
        <v>154.98000000000002</v>
      </c>
      <c r="R30" s="52">
        <f>'bērni līdz 5 gadiem'!R30+'bērni no 5 gadu vec.'!R30</f>
        <v>0</v>
      </c>
      <c r="S30" s="46">
        <f t="shared" si="0"/>
        <v>639.98</v>
      </c>
    </row>
    <row r="31" spans="1:21" ht="15" x14ac:dyDescent="0.25">
      <c r="A31" s="9">
        <v>5233</v>
      </c>
      <c r="B31" s="2" t="s">
        <v>31</v>
      </c>
      <c r="C31" s="52">
        <f>'bērni līdz 5 gadiem'!C31+'bērni no 5 gadu vec.'!C31</f>
        <v>0</v>
      </c>
      <c r="D31" s="52">
        <f>'bērni līdz 5 gadiem'!D31+'bērni no 5 gadu vec.'!D31</f>
        <v>0</v>
      </c>
      <c r="E31" s="52">
        <f>'bērni līdz 5 gadiem'!E31+'bērni no 5 gadu vec.'!E31</f>
        <v>0</v>
      </c>
      <c r="F31" s="52">
        <f>'bērni līdz 5 gadiem'!F31+'bērni no 5 gadu vec.'!F31</f>
        <v>0</v>
      </c>
      <c r="G31" s="52">
        <f>'bērni līdz 5 gadiem'!G31+'bērni no 5 gadu vec.'!G31</f>
        <v>0</v>
      </c>
      <c r="H31" s="52">
        <f>'bērni līdz 5 gadiem'!H31+'bērni no 5 gadu vec.'!H31</f>
        <v>0</v>
      </c>
      <c r="I31" s="52">
        <f>'bērni līdz 5 gadiem'!I31+'bērni no 5 gadu vec.'!I31</f>
        <v>0</v>
      </c>
      <c r="J31" s="52">
        <f>'bērni līdz 5 gadiem'!J31+'bērni no 5 gadu vec.'!J31</f>
        <v>0</v>
      </c>
      <c r="K31" s="52">
        <f>'bērni līdz 5 gadiem'!K31+'bērni no 5 gadu vec.'!K31</f>
        <v>0</v>
      </c>
      <c r="L31" s="52">
        <f>'bērni līdz 5 gadiem'!L31+'bērni no 5 gadu vec.'!L31</f>
        <v>0</v>
      </c>
      <c r="M31" s="52">
        <f>'bērni līdz 5 gadiem'!M31+'bērni no 5 gadu vec.'!M31</f>
        <v>0</v>
      </c>
      <c r="N31" s="52">
        <f>'bērni līdz 5 gadiem'!N31+'bērni no 5 gadu vec.'!N31</f>
        <v>0</v>
      </c>
      <c r="O31" s="52">
        <f>'bērni līdz 5 gadiem'!O31+'bērni no 5 gadu vec.'!O31</f>
        <v>0</v>
      </c>
      <c r="P31" s="52">
        <f>'bērni līdz 5 gadiem'!P31+'bērni no 5 gadu vec.'!P31</f>
        <v>0</v>
      </c>
      <c r="Q31" s="52">
        <f>'bērni līdz 5 gadiem'!Q31+'bērni no 5 gadu vec.'!Q31</f>
        <v>0</v>
      </c>
      <c r="R31" s="52">
        <f>'bērni līdz 5 gadiem'!R31+'bērni no 5 gadu vec.'!R31</f>
        <v>0</v>
      </c>
      <c r="S31" s="46">
        <f t="shared" si="0"/>
        <v>0</v>
      </c>
    </row>
    <row r="32" spans="1:21" ht="18" customHeight="1" x14ac:dyDescent="0.25">
      <c r="A32" s="81" t="s">
        <v>9</v>
      </c>
      <c r="B32" s="82"/>
      <c r="C32" s="59">
        <f t="shared" ref="C32:R32" si="5">C12+C13+C14+C15+C22+C30+C31</f>
        <v>258422.16999999998</v>
      </c>
      <c r="D32" s="59">
        <f t="shared" si="5"/>
        <v>500549.36000000004</v>
      </c>
      <c r="E32" s="59">
        <f t="shared" si="5"/>
        <v>722477.02</v>
      </c>
      <c r="F32" s="59">
        <f t="shared" si="5"/>
        <v>101939.84907599998</v>
      </c>
      <c r="G32" s="59">
        <f t="shared" si="5"/>
        <v>105024.35548300001</v>
      </c>
      <c r="H32" s="59">
        <f t="shared" si="5"/>
        <v>219992.16511</v>
      </c>
      <c r="I32" s="59">
        <f t="shared" si="5"/>
        <v>301695.64</v>
      </c>
      <c r="J32" s="59">
        <f t="shared" si="5"/>
        <v>108454.141466</v>
      </c>
      <c r="K32" s="59">
        <f t="shared" si="5"/>
        <v>426523.36</v>
      </c>
      <c r="L32" s="59">
        <f t="shared" si="5"/>
        <v>200425.16494000005</v>
      </c>
      <c r="M32" s="59">
        <f t="shared" si="5"/>
        <v>58038.645600000003</v>
      </c>
      <c r="N32" s="59">
        <f t="shared" si="5"/>
        <v>135144.10990000001</v>
      </c>
      <c r="O32" s="59">
        <f t="shared" si="5"/>
        <v>273389.39</v>
      </c>
      <c r="P32" s="59">
        <f t="shared" si="5"/>
        <v>161989.03447799999</v>
      </c>
      <c r="Q32" s="59">
        <f t="shared" si="5"/>
        <v>394300.48424800002</v>
      </c>
      <c r="R32" s="59">
        <f t="shared" si="5"/>
        <v>73770.337396000003</v>
      </c>
      <c r="S32" s="59">
        <f t="shared" si="0"/>
        <v>4042135.2276970004</v>
      </c>
      <c r="U32" s="70"/>
    </row>
    <row r="33" spans="1:20" ht="30" customHeight="1" x14ac:dyDescent="0.25">
      <c r="A33" s="81" t="s">
        <v>28</v>
      </c>
      <c r="B33" s="83"/>
      <c r="C33" s="60">
        <f t="shared" ref="C33:S33" si="6">C32/12/C10</f>
        <v>241.96832397003743</v>
      </c>
      <c r="D33" s="60">
        <f t="shared" si="6"/>
        <v>188.74410256410258</v>
      </c>
      <c r="E33" s="60">
        <f t="shared" si="6"/>
        <v>191.13148677248677</v>
      </c>
      <c r="F33" s="60">
        <f t="shared" si="6"/>
        <v>207.19481519512192</v>
      </c>
      <c r="G33" s="60">
        <f t="shared" si="6"/>
        <v>153.54437936111111</v>
      </c>
      <c r="H33" s="60">
        <f t="shared" si="6"/>
        <v>238.08675877705627</v>
      </c>
      <c r="I33" s="60">
        <f t="shared" si="6"/>
        <v>246.4833660130719</v>
      </c>
      <c r="J33" s="60">
        <f t="shared" si="6"/>
        <v>231.73961851709404</v>
      </c>
      <c r="K33" s="60">
        <f t="shared" si="6"/>
        <v>314.54525073746316</v>
      </c>
      <c r="L33" s="60">
        <f t="shared" si="6"/>
        <v>256.9553396666667</v>
      </c>
      <c r="M33" s="60">
        <f t="shared" si="6"/>
        <v>322.43692000000004</v>
      </c>
      <c r="N33" s="60">
        <f t="shared" si="6"/>
        <v>281.55022895833338</v>
      </c>
      <c r="O33" s="60">
        <f t="shared" si="6"/>
        <v>274.48733935742973</v>
      </c>
      <c r="P33" s="60">
        <f t="shared" si="6"/>
        <v>228.79807129661015</v>
      </c>
      <c r="Q33" s="60">
        <f t="shared" si="6"/>
        <v>296.02138457057055</v>
      </c>
      <c r="R33" s="60">
        <f t="shared" si="6"/>
        <v>279.4330961969697</v>
      </c>
      <c r="S33" s="60">
        <f t="shared" si="6"/>
        <v>232.46694431199683</v>
      </c>
    </row>
    <row r="35" spans="1:20" x14ac:dyDescent="0.2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39"/>
      <c r="T35" s="14"/>
    </row>
    <row r="36" spans="1:20" x14ac:dyDescent="0.2">
      <c r="C36" s="12"/>
      <c r="D36" s="12"/>
      <c r="E36" s="12"/>
      <c r="H36" s="14"/>
      <c r="I36" s="14"/>
    </row>
    <row r="37" spans="1:20" x14ac:dyDescent="0.2"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</row>
  </sheetData>
  <mergeCells count="7">
    <mergeCell ref="A11:F11"/>
    <mergeCell ref="A32:B32"/>
    <mergeCell ref="A33:B33"/>
    <mergeCell ref="Q1:S1"/>
    <mergeCell ref="Q2:S2"/>
    <mergeCell ref="Q3:S3"/>
    <mergeCell ref="Q4:S4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4</vt:i4>
      </vt:variant>
      <vt:variant>
        <vt:lpstr>Diapazoni ar nosaukumiem</vt:lpstr>
      </vt:variant>
      <vt:variant>
        <vt:i4>1</vt:i4>
      </vt:variant>
    </vt:vector>
  </HeadingPairs>
  <TitlesOfParts>
    <vt:vector size="5" baseType="lpstr">
      <vt:lpstr>Skolas</vt:lpstr>
      <vt:lpstr>bērni līdz 5 gadiem</vt:lpstr>
      <vt:lpstr>bērni no 5 gadu vec.</vt:lpstr>
      <vt:lpstr>KOPĀ PII</vt:lpstr>
      <vt:lpstr>Skolas!Drukas_apgabals</vt:lpstr>
    </vt:vector>
  </TitlesOfParts>
  <Company>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Biruta</dc:creator>
  <cp:lastModifiedBy>DaceC</cp:lastModifiedBy>
  <cp:lastPrinted>2023-02-06T08:29:44Z</cp:lastPrinted>
  <dcterms:created xsi:type="dcterms:W3CDTF">2004-02-26T13:25:26Z</dcterms:created>
  <dcterms:modified xsi:type="dcterms:W3CDTF">2023-03-02T13:25:05Z</dcterms:modified>
</cp:coreProperties>
</file>